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330" windowHeight="4245" tabRatio="862" activeTab="8"/>
  </bookViews>
  <sheets>
    <sheet name="Parâmetros" sheetId="1" r:id="rId1"/>
    <sheet name="Tab01" sheetId="2" r:id="rId2"/>
    <sheet name="Tab01-A" sheetId="3" r:id="rId3"/>
    <sheet name="Tab02" sheetId="4" r:id="rId4"/>
    <sheet name="Tab03" sheetId="5" r:id="rId5"/>
    <sheet name="Tab04" sheetId="6" r:id="rId6"/>
    <sheet name="Tab05" sheetId="7" r:id="rId7"/>
    <sheet name="Tab07B" sheetId="8" state="hidden" r:id="rId8"/>
    <sheet name="Tab06" sheetId="9" r:id="rId9"/>
    <sheet name="AvalRec2" sheetId="10" state="hidden" r:id="rId10"/>
  </sheets>
  <definedNames>
    <definedName name="_xlnm.Print_Area" localSheetId="9">'AvalRec2'!$A$1:$F$37</definedName>
    <definedName name="_xlnm.Print_Area" localSheetId="1">'Tab01'!$A$1:$H$98</definedName>
    <definedName name="_xlnm.Print_Area" localSheetId="2">'Tab01-A'!$A$1:$H$14</definedName>
    <definedName name="_xlnm.Print_Area" localSheetId="3">'Tab02'!$A$1:$H$36</definedName>
    <definedName name="_xlnm.Print_Area" localSheetId="4">'Tab03'!$A$1:$H$34</definedName>
    <definedName name="_xlnm.Print_Area" localSheetId="5">'Tab04'!$A$1:$F$43</definedName>
    <definedName name="_xlnm.Print_Area" localSheetId="6">'Tab05'!$A$1:$H$29</definedName>
    <definedName name="_xlnm.Print_Area" localSheetId="8">'Tab06'!$A$1:$F$34</definedName>
    <definedName name="_xlnm.Print_Area" localSheetId="7">'Tab07B'!$A$25:$F$31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6">'Tab05'!#REF!,'Tab05'!#REF!</definedName>
    <definedName name="Planilha_1ÁreaTotal">#REF!,#REF!</definedName>
    <definedName name="Planilha_1CabGráfico" localSheetId="6">'Tab05'!#REF!</definedName>
    <definedName name="Planilha_1CabGráfico">#REF!</definedName>
    <definedName name="Planilha_1TítCols" localSheetId="6">'Tab05'!#REF!,'Tab05'!#REF!</definedName>
    <definedName name="Planilha_1TítCols">#REF!,#REF!</definedName>
    <definedName name="Planilha_1TítLins" localSheetId="6">'Tab05'!#REF!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 localSheetId="8">'Tab01'!$B$12:$B$16,'Tab01'!$F$12:$G$16</definedName>
    <definedName name="Planilha_4ÁreaTotal">'Tab01'!$B$12:$B$16,'Tab01'!$F$12:$G$16</definedName>
    <definedName name="Planilha_4TítCols" localSheetId="8">'Tab01'!$B$12,'Tab01'!$F$12:$G$12</definedName>
    <definedName name="Planilha_4TítCols">'Tab01'!$B$12,'Tab01'!$F$12:$G$12</definedName>
    <definedName name="Tabela_I">#REF!</definedName>
    <definedName name="Tabela_I_A">#REF!</definedName>
    <definedName name="Tabela_II">#REF!</definedName>
    <definedName name="Tabela_III">#REF!</definedName>
    <definedName name="Tabela_IV">#REF!</definedName>
    <definedName name="Tabela_V">#REF!</definedName>
    <definedName name="Tabela_V_A">#REF!</definedName>
    <definedName name="Tabela_VI">#REF!</definedName>
    <definedName name="_xlnm.Print_Titles" localSheetId="1">'Tab01'!$A:$A,'Tab01'!$1:$8</definedName>
    <definedName name="_xlnm.Print_Titles" localSheetId="7">'Tab07B'!$1:$7</definedName>
    <definedName name="Topo">#REF!</definedName>
  </definedNames>
  <calcPr fullCalcOnLoad="1"/>
</workbook>
</file>

<file path=xl/sharedStrings.xml><?xml version="1.0" encoding="utf-8"?>
<sst xmlns="http://schemas.openxmlformats.org/spreadsheetml/2006/main" count="338" uniqueCount="266">
  <si>
    <t>R$ mil médios/2001</t>
  </si>
  <si>
    <t>DISCRIMINAÇÃO</t>
  </si>
  <si>
    <t>VALOR</t>
  </si>
  <si>
    <t>RECEITA</t>
  </si>
  <si>
    <t>IMPOSTOS PRÓPRIOS (A)</t>
  </si>
  <si>
    <t>TRANSFERÊNCIAS DO ESTADO (B)</t>
  </si>
  <si>
    <t>Cota-parte do IPVA</t>
  </si>
  <si>
    <t>TRANSFERÊNCIAS DA UNIÃO (C)</t>
  </si>
  <si>
    <t>Receita Tributária (A)</t>
  </si>
  <si>
    <t>IPTU</t>
  </si>
  <si>
    <t>ITBI</t>
  </si>
  <si>
    <t>ISS</t>
  </si>
  <si>
    <t>IVVC</t>
  </si>
  <si>
    <t>Transferências Constitucionais (B)</t>
  </si>
  <si>
    <t>ITR (Art.158, CF/1998)</t>
  </si>
  <si>
    <t>IPVA (Art.158, CF/1998)</t>
  </si>
  <si>
    <t>IRRF (Art.158, CF/1998)</t>
  </si>
  <si>
    <t>ICMS (Art.158, CF/1998)</t>
  </si>
  <si>
    <t>FPM (Art.159, CF/1998)</t>
  </si>
  <si>
    <t>IPI-EX (Art.159, CF/1998)</t>
  </si>
  <si>
    <t>Total das Despesas (G) = (D) + (E) + (F)</t>
  </si>
  <si>
    <t>Participação (H) = (G) / (C)</t>
  </si>
  <si>
    <t>TABELA VII</t>
  </si>
  <si>
    <t>EMENDA CONSTITUCIONAL No.25</t>
  </si>
  <si>
    <t>TAXAS</t>
  </si>
  <si>
    <t>IOC S/OURO (Art.153, Par.5o., CF/1998)</t>
  </si>
  <si>
    <t>Total (C) = (A) + (B)</t>
  </si>
  <si>
    <t>(*) Ano anterior ao de Limite da Despesa - Projeto de LOA</t>
  </si>
  <si>
    <t>Limite da Despesa</t>
  </si>
  <si>
    <t>Despesa Prevista</t>
  </si>
  <si>
    <t>Legislativo Total</t>
  </si>
  <si>
    <t>Legislativo Pessoal Ativo</t>
  </si>
  <si>
    <t xml:space="preserve"> DESPESAS LIQUIDADAS</t>
  </si>
  <si>
    <t>Ano</t>
  </si>
  <si>
    <t>R$ Mil médios</t>
  </si>
  <si>
    <t>ESPECIFICAÇÃO</t>
  </si>
  <si>
    <t>Receita Tributária</t>
  </si>
  <si>
    <t>Transferências Correntes</t>
  </si>
  <si>
    <t>II - DEDUÇÕES</t>
  </si>
  <si>
    <t>Compensação Financeira entre Regimes</t>
  </si>
  <si>
    <t>Receita Industrial</t>
  </si>
  <si>
    <t>Receita de Serviços</t>
  </si>
  <si>
    <t>Receita Agropecuária</t>
  </si>
  <si>
    <t>Percentual para cálculo</t>
  </si>
  <si>
    <t>Receitas Tributárias</t>
  </si>
  <si>
    <t>Impostos</t>
  </si>
  <si>
    <t>Taxas</t>
  </si>
  <si>
    <t>Receita de Contribuições</t>
  </si>
  <si>
    <t>Outras Contribuições</t>
  </si>
  <si>
    <t>Receita Patrimonial</t>
  </si>
  <si>
    <t>Outras Receitas Patrimoniais</t>
  </si>
  <si>
    <t>Cota-parte do ITR</t>
  </si>
  <si>
    <t>Cota-parte do FPM</t>
  </si>
  <si>
    <t>Cota-parte do ICMS</t>
  </si>
  <si>
    <t>Outras Receitas Correntes</t>
  </si>
  <si>
    <t>Receitas Correntes Diversas</t>
  </si>
  <si>
    <t>Operações de Crédito</t>
  </si>
  <si>
    <t xml:space="preserve">Alienação de Bens </t>
  </si>
  <si>
    <t>Transf. de Capital</t>
  </si>
  <si>
    <t>Outras Receitas de Capital</t>
  </si>
  <si>
    <r>
      <t>ANO</t>
    </r>
    <r>
      <rPr>
        <b/>
        <vertAlign val="superscript"/>
        <sz val="11"/>
        <color indexed="63"/>
        <rFont val="Verdana"/>
        <family val="2"/>
      </rPr>
      <t>(*)</t>
    </r>
  </si>
  <si>
    <t>DESPESAS DO LEGISLATIVO - 2001/2005</t>
  </si>
  <si>
    <t>Legislativo Pessoal Ativo (B) = 70% de (A)</t>
  </si>
  <si>
    <t xml:space="preserve">Prefeitura Municipal de </t>
  </si>
  <si>
    <t>AVALIAÇÃO DE RECURSOS DISPONÍVEIS PARA PLANEJAMENTO</t>
  </si>
  <si>
    <t xml:space="preserve"> </t>
  </si>
  <si>
    <t>Receita  Corrente Líquida (A)</t>
  </si>
  <si>
    <t>Transferências não Vinculadas</t>
  </si>
  <si>
    <t>Transferências do SUS</t>
  </si>
  <si>
    <t>Transferência Adicional do Fundef</t>
  </si>
  <si>
    <t>Transferências de Convênios</t>
  </si>
  <si>
    <t>Despesas Vinculadas/obrigações legais(B)</t>
  </si>
  <si>
    <t>Despesas com serviços de saúde</t>
  </si>
  <si>
    <t>Recursos doTesouro-EC nº 29</t>
  </si>
  <si>
    <t>Pessoal(líquido)</t>
  </si>
  <si>
    <t>Outras de custeio e capital</t>
  </si>
  <si>
    <t xml:space="preserve">Convênios </t>
  </si>
  <si>
    <t>Despesas com Manut.e Des.Ensino</t>
  </si>
  <si>
    <t>Despesas  com Legislativo</t>
  </si>
  <si>
    <t>EC nº25</t>
  </si>
  <si>
    <t>Pessoal Ativo</t>
  </si>
  <si>
    <t>Pessoal Inativo( líquido)do Legislativo</t>
  </si>
  <si>
    <t xml:space="preserve">Outras Despesas com Rec. Vincul./Convênios </t>
  </si>
  <si>
    <t>Despesas com Recursos de Convênios</t>
  </si>
  <si>
    <t>Contrapartidas  de Convênios</t>
  </si>
  <si>
    <t>Outras Despesas com Rec. Vinculados</t>
  </si>
  <si>
    <t>Serviço da Dívida</t>
  </si>
  <si>
    <t>Juros e encargos da dívida</t>
  </si>
  <si>
    <t>Amortização</t>
  </si>
  <si>
    <t>Recursos sem vinculação/obrigações legais</t>
  </si>
  <si>
    <t>Pessoal exc.saúde/educ./legislativo</t>
  </si>
  <si>
    <t>Outras desp. de custeio e capital</t>
  </si>
  <si>
    <t xml:space="preserve">Demais Receitas Correntes Líquidas </t>
  </si>
  <si>
    <t>IRRF</t>
  </si>
  <si>
    <t>Serviços de Saúde</t>
  </si>
  <si>
    <t>Outros Serviços</t>
  </si>
  <si>
    <t>Transf.Recursos FNAS</t>
  </si>
  <si>
    <t>Transf.Recursos FNDE</t>
  </si>
  <si>
    <t>Transf.Financeira - LC nº 87/96</t>
  </si>
  <si>
    <t>Transferências Multigovernamentais</t>
  </si>
  <si>
    <t>Outras Transf.da União</t>
  </si>
  <si>
    <t>Transf.dos Estados</t>
  </si>
  <si>
    <t>Outras Transf.dos Estados</t>
  </si>
  <si>
    <t>Outras Transf.Correntes</t>
  </si>
  <si>
    <t>Transf.Intergovernamentais</t>
  </si>
  <si>
    <t>Transf.da União</t>
  </si>
  <si>
    <t>Transf.Recursos do SUS</t>
  </si>
  <si>
    <t>Amort. de Empréstimos/Financ.</t>
  </si>
  <si>
    <t>Contribuição de Melhoria</t>
  </si>
  <si>
    <t>Receitas de Capital (B)</t>
  </si>
  <si>
    <t>Multas e Juros de Mora Outras Origens</t>
  </si>
  <si>
    <t>Receitas da Dívida Ativa Outras Origens</t>
  </si>
  <si>
    <t>Transferência Financeira LC nº 87/96</t>
  </si>
  <si>
    <t>Juros e Encargos da Dívida</t>
  </si>
  <si>
    <t>Contribuições Previdenciárias do Regime Próprio</t>
  </si>
  <si>
    <t>Comp.Financ. entre Regimes Previdenciários</t>
  </si>
  <si>
    <t>Contribuição para Custeio de Serv.Ilum.Pública</t>
  </si>
  <si>
    <t>Receita de Valores Mobiliários</t>
  </si>
  <si>
    <t>Transferência do Salário-Educação</t>
  </si>
  <si>
    <t>Transf.Compens.Financ.Explor.Rec.Naturais</t>
  </si>
  <si>
    <t>Transf.Cota-parte CIDE</t>
  </si>
  <si>
    <t>Transferências dos Municípios</t>
  </si>
  <si>
    <t>Outras Transf.dos Municípios</t>
  </si>
  <si>
    <t>Convênios para Prog.Assist.Social</t>
  </si>
  <si>
    <t>Convênios para Prog.Educação</t>
  </si>
  <si>
    <t>Convênios para Combate à Fome</t>
  </si>
  <si>
    <t>Convênios para Saneamento Básico</t>
  </si>
  <si>
    <t>Outras Transf.Convênios</t>
  </si>
  <si>
    <t>Outras Operações Especiais</t>
  </si>
  <si>
    <t>Demais Operações Especiais</t>
  </si>
  <si>
    <t>Legislativo: Folha de Pagamento (E )= 70% (D)</t>
  </si>
  <si>
    <t>RECEITA CORRENTE LÍQUIDA - RCL (F)</t>
  </si>
  <si>
    <t>DESPESA LÍQUIDA TOTAL / RCL (G=E/F)</t>
  </si>
  <si>
    <t>Assistência social</t>
  </si>
  <si>
    <t>Outros Vinculados</t>
  </si>
  <si>
    <t>Educação- outros vinculados</t>
  </si>
  <si>
    <t>Convênios para  Saúde</t>
  </si>
  <si>
    <t>Limite da despesa para o ano</t>
  </si>
  <si>
    <t>Pessoal Ativo+Outras Desp de Pessoal Art.18 LRF+ Contr.Patronal (A)</t>
  </si>
  <si>
    <t>Educação- Fundeb</t>
  </si>
  <si>
    <t>Transf.Recursos do FUNDEB</t>
  </si>
  <si>
    <t>Receitas Correntes  excluídas deduções Fundeb (A)</t>
  </si>
  <si>
    <t xml:space="preserve">   Deduções da Receita</t>
  </si>
  <si>
    <t xml:space="preserve">     Deduções para o  F U N D E B</t>
  </si>
  <si>
    <t>Rendidmentos de Aplicações (Rec.Previdenciários)</t>
  </si>
  <si>
    <t>Deduções da Receita (Fundeb e Outras)</t>
  </si>
  <si>
    <t>DESPESA  (Recursos  MDE e FUNDEB)</t>
  </si>
  <si>
    <t xml:space="preserve">  Multas e Juros de Mora dos Tributos</t>
  </si>
  <si>
    <t xml:space="preserve">  Receitas de Dívida Ativa Tributária</t>
  </si>
  <si>
    <t xml:space="preserve"> (-) Outras despesas não Computadas (D)</t>
  </si>
  <si>
    <t>PARÂMETROS PARA PROJEÇÕES</t>
  </si>
  <si>
    <t>Preencher com as expectativas de aumentos percentuais das receitas ou despesas</t>
  </si>
  <si>
    <t>INFLAÇÃO ANUAL</t>
  </si>
  <si>
    <t>1. INFLAÇÃO MÉDIA ANUAL   (I P C A)</t>
  </si>
  <si>
    <t xml:space="preserve">2. CRESCIMENTO ESPERADO DO PIB </t>
  </si>
  <si>
    <t>3. CRESC. VEGET. FOLHA SALARIAL *</t>
  </si>
  <si>
    <t>4. CRESC. AUTÔNOMO DE OUTROS CUSTEIOS</t>
  </si>
  <si>
    <t>5. ESFORÇO ARRECADAÇÃO PRÓPRIA</t>
  </si>
  <si>
    <t>6 CRESCIMENTO MÉDIO TRANSFERENCIAS</t>
  </si>
  <si>
    <t>8. CRESCIMENTO DOS INVESTIMENTOS E INVERSÕES</t>
  </si>
  <si>
    <t>TOTAL DAS RECEITAS P/FINS DO ART. 212 DA CF/88  (D)</t>
  </si>
  <si>
    <t>DEDUÇÕES PARA CONSTITUIÇÃO DO FUNDEB (F)</t>
  </si>
  <si>
    <t>RECEITA TOTAL   (A)</t>
  </si>
  <si>
    <t>DESPESAS QUE NÃO INTEGRAM O PPA  (B)</t>
  </si>
  <si>
    <t xml:space="preserve">  Despesas totais com serviços de saúde (C.F./88 - Art. 198)</t>
  </si>
  <si>
    <t xml:space="preserve">  Despesas totais com Educação  (MDE e FUNDEB)</t>
  </si>
  <si>
    <t xml:space="preserve"> PASEP</t>
  </si>
  <si>
    <t xml:space="preserve">    Recursos da  Contribuição p/Iluminação Pública (CIP)</t>
  </si>
  <si>
    <t>Despesas Vinculadas/obrigações legais (D)</t>
  </si>
  <si>
    <t>Outras Despesas com Rec. Vinculados  (E)</t>
  </si>
  <si>
    <t>DESPESAS QUE INTEGRAM O PPA  (C) = D + E + F</t>
  </si>
  <si>
    <t xml:space="preserve">DESPESAS DE PESSOAL - PODER LEGISLATIVO </t>
  </si>
  <si>
    <t xml:space="preserve">IRRF </t>
  </si>
  <si>
    <t>DESPESAS DE PESSOAL - PODER EXECUTIVO</t>
  </si>
  <si>
    <t>Receita da Dívida Ativa, Multas e Juros de Mora (Origem em Impostos)</t>
  </si>
  <si>
    <t>Multas e Juros de Mora (Origem em Impostos)</t>
  </si>
  <si>
    <t>Receitas da Dívida Ativa  (Origem em Impostos)</t>
  </si>
  <si>
    <t>Taxas de Inflação e PIB. Fonte: www3.bcb.gov.br/expectativas/publico/</t>
  </si>
  <si>
    <t>Transf. Intergovernamentais (exceto de convênios)</t>
  </si>
  <si>
    <t>PLANO PLURIANUAL  2018 - 2021</t>
  </si>
  <si>
    <t>Transf. de Convênios p/Despesas de Capital</t>
  </si>
  <si>
    <t>Transf.Convênios p/Despesas Correntes</t>
  </si>
  <si>
    <t>TOTAL GERAL DA RECEITA (C)=(A)+(B)+( C)</t>
  </si>
  <si>
    <t>Tabela 04 – Cálculo da previsão do limite de despesas do Poder Legislativo para o período de 2017 a 2021</t>
  </si>
  <si>
    <t>Saúde  - ASPS</t>
  </si>
  <si>
    <t>Saúde  - outros vinculados</t>
  </si>
  <si>
    <t>Recursos Previdenciários - RPPS</t>
  </si>
  <si>
    <t>Não Vinculados (Recursos Livres)</t>
  </si>
  <si>
    <t>FPM - Cota Extra - Julho e Dezembro</t>
  </si>
  <si>
    <t>Cota-parte do IPI-Exportações</t>
  </si>
  <si>
    <t>Transf.Recursos do Fundo Estadual de Saúde</t>
  </si>
  <si>
    <t>Transf.Recursos do Fundo Estadual de Assist.Social</t>
  </si>
  <si>
    <t xml:space="preserve">   Outras Deduções da Receita (renuncias, retificações, restituições)</t>
  </si>
  <si>
    <t>Convênios para Programas de Infraestrutura</t>
  </si>
  <si>
    <t>Convênios para Programas de Infraestrrutura</t>
  </si>
  <si>
    <t>III - (+) Ajuste Perdas com o Fundeb</t>
  </si>
  <si>
    <t xml:space="preserve">    I R R F s/Rendimentos do Trabalho</t>
  </si>
  <si>
    <t>IV - RECEITA CORRENTE LÍQUIDA (I-II+III)</t>
  </si>
  <si>
    <t>DESPESA CONSIDERADA COM MANUTENÇÃO DE ENSINO (K) = H+I+J (+/-) G</t>
  </si>
  <si>
    <t xml:space="preserve">    FPM - Cota Extra - Julho e Dezembro</t>
  </si>
  <si>
    <t>TOTAL DAS RECEITAS P/FINS DO ART. 198 DA CF/88  (D)</t>
  </si>
  <si>
    <t xml:space="preserve">   IRRF s/Rendimento do Trabalho  -  Poder Executivo</t>
  </si>
  <si>
    <t xml:space="preserve">   IRRF s/Rendimento do Trabalho  -  Poder Legislativo</t>
  </si>
  <si>
    <t xml:space="preserve">   IRRF s/ Demais Rendimentos</t>
  </si>
  <si>
    <t>I - RECEITAS CORRENTES(Exceto Intraorçamentárias)</t>
  </si>
  <si>
    <t>Contribuiçõesdos Servidores para o Regime Próprio de Previdência</t>
  </si>
  <si>
    <t>RECURSOS DO FUNDEB (Transferência e Rendimentos)   (E)</t>
  </si>
  <si>
    <t>Pessoal Ativo +Outras Desp de Pessoal da Educação (H)</t>
  </si>
  <si>
    <t>Outras Despesas Correntes da Educação (I)</t>
  </si>
  <si>
    <t>Despesas de Capital da Educação (J)</t>
  </si>
  <si>
    <t>VALOR MÍNIMO A APLICAR  25% X (D)</t>
  </si>
  <si>
    <t xml:space="preserve">   GANHO / PERDA COM O F U N D E B (G  = E - F)</t>
  </si>
  <si>
    <t>Valor Efetivamente Aplicado  (M) = K / D</t>
  </si>
  <si>
    <t>VALOR MÍNIMO A APLICAR  15% X (D)</t>
  </si>
  <si>
    <t>D E S P E S A S COM AÇÕES E SERVIÇOS PÚBLICOS DE SAÚDE</t>
  </si>
  <si>
    <t>Pessoal Ativo + Outras Desp de Pessoal da Saúde</t>
  </si>
  <si>
    <t>Outras Despesas Correntes da Saúde (E)</t>
  </si>
  <si>
    <t>Despesas de Capita da Saúde (F)</t>
  </si>
  <si>
    <t>(-) Despesas com Rendimentos das Aplicações Financeiras - ASPS</t>
  </si>
  <si>
    <t xml:space="preserve">BASE DE CÁLCULO PARA O ANO DA DESPESA </t>
  </si>
  <si>
    <t>RECEITA EFETIVAMENTE ARRECADADA ANO ANTERIOR</t>
  </si>
  <si>
    <t>Contribuição p/Custeio de Iluminação Pública (B)</t>
  </si>
  <si>
    <t>Contribuições dos Servidores para o Regime Próprio de Previdência ( C )</t>
  </si>
  <si>
    <t xml:space="preserve">FPM Cota Extra </t>
  </si>
  <si>
    <t>Cota Parte da  CIDE</t>
  </si>
  <si>
    <t>Transferências Constitucionais e Legais (D)</t>
  </si>
  <si>
    <t>Outras Receitas Correntes (E)</t>
  </si>
  <si>
    <t>Deduções das Receitas Correntes -  Exceto para o Fundeb (F)</t>
  </si>
  <si>
    <t xml:space="preserve">TOTAL DA RECEITA DO ANO ANTERIOR (G) = (A) + (B) + ( C ) + (D) + (E) - (F) </t>
  </si>
  <si>
    <t>Despesa Efetivamente Prevista para o Legislativo</t>
  </si>
  <si>
    <t>% de Gastos Efetivo do Poder Legislativo</t>
  </si>
  <si>
    <t>% Efetivo de Gastos Com Folha de Pagamento do Legislativo</t>
  </si>
  <si>
    <t>Limite Percentual Estabelecido pelo Art. 29-A da Constituição da República</t>
  </si>
  <si>
    <t>Demais Despesas do Legislativo</t>
  </si>
  <si>
    <t xml:space="preserve"> (-) Inativos com recursos do RPPS (C)</t>
  </si>
  <si>
    <t>Pessoal Inativo e Pensionistas - Total do Executivo (B)</t>
  </si>
  <si>
    <t>Pessoal Inativo e Pensionistas- Total do Legislativo  (B)</t>
  </si>
  <si>
    <t>Folha de Pagamenos do Poder Legislativo p/Fins do § 1º do art. 29-A da Constituição</t>
  </si>
  <si>
    <t xml:space="preserve"> (-) Inativos do Legislativo pagos recursos do RPPS (C)</t>
  </si>
  <si>
    <t xml:space="preserve">  (-)  I R R F s/ Rendimentos do Trabalho Poder Executivo (E)</t>
  </si>
  <si>
    <t>DESPESA LÍQUIDA TOTAL (F) = (A+B) - (C+D+E)</t>
  </si>
  <si>
    <t xml:space="preserve">  (-)  I R R F s/ Rendimentos do Trabalho Poder Legislativo (E)</t>
  </si>
  <si>
    <t>Tabela 06 – Avaliação global dos recursos disponíveis para planejamento no período de 2017 a 2021</t>
  </si>
  <si>
    <t>Reserva de Contingência (inclusive para equilíbrio financeiro)</t>
  </si>
  <si>
    <t xml:space="preserve">   Demais Recursos para Aplicação em Saúde </t>
  </si>
  <si>
    <t xml:space="preserve">   Recursos para Aplicação em Assistência Social</t>
  </si>
  <si>
    <t xml:space="preserve">   Demais Recursos para Aplucação em Educação</t>
  </si>
  <si>
    <t>Receitas intraorçamentárias do RPPS  ( C )</t>
  </si>
  <si>
    <t xml:space="preserve">  Inativos e Pensionistas - Gastos Totais</t>
  </si>
  <si>
    <t>Reserva de Contingência do RPPS</t>
  </si>
  <si>
    <t xml:space="preserve">   Rec.Al.de Bens, Operaç.de Crédito e Amort.de Emprést/Financiam</t>
  </si>
  <si>
    <t xml:space="preserve">   Demais Vinculações - Receitas Correntes</t>
  </si>
  <si>
    <t xml:space="preserve">  Demais Vinculações -  Receitas de Capital</t>
  </si>
  <si>
    <t xml:space="preserve">  Pessoal e Encargos do Executivo (exceto Educação, Saúde e Câmara)</t>
  </si>
  <si>
    <t xml:space="preserve">  Despesas totais com o  Poder Legislativo, Inclusive Pessoal</t>
  </si>
  <si>
    <t>Recursos Livres Estimados para Planejamento das Demais Despesas (F) = A - B - D - E</t>
  </si>
  <si>
    <t xml:space="preserve">MUNICÍPIO DE:  </t>
  </si>
  <si>
    <t>Tabela 1 - Receitas realizadas em 2015 e 2016, previstas para  2017 e estimadas para o período de 2018 a 2021</t>
  </si>
  <si>
    <t>Tabela 01-A – Receita Corrente Líquida realizada em 2015 e 2016, prevista para 2017 e estimada para o período de 2018 a 2021</t>
  </si>
  <si>
    <t>Tabela 02 – Recursos aplicados na Manutenção e Desenvolvimento do Ensino em 2015 e 2016, previstos para 2017 e estimados para o período de 2018 a 2021</t>
  </si>
  <si>
    <t>Tabela 03 – Recursos aplicados em Ações e Serviços Públicos de Saúde em 2015 e 2016, previstos para 2017 e estimados para o período de 2018 a 2021</t>
  </si>
  <si>
    <t>Tabela 05 – Apuração dos gastos com pessoal do Poder Executivo e Legislativo ocorridos em 2015 e 2016, previstos para 2017 e estimados para o período de 2018 a 2021</t>
  </si>
  <si>
    <t>7 PERCENTUAL DE AUMENTO SALARIAL - Executivo</t>
  </si>
  <si>
    <t>7 PERCENTUAL DE AUMENTO SALARIAL - Legislativo</t>
  </si>
  <si>
    <t xml:space="preserve">OBS:  A despesa com pessoal do Executivo e Legislativo estão acima dos índices constitucionais devido que nesta tabela foi foi lançado o valor </t>
  </si>
  <si>
    <t>pago, sem as excluções de indenizações e reposição salarial nos termos do art. 37 da CF 88.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</si>
</sst>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&quot;R$&quot;#,##0.00"/>
    <numFmt numFmtId="181" formatCode="0.0%"/>
    <numFmt numFmtId="182" formatCode="#,##0.0_);\(#,##0.0\)"/>
    <numFmt numFmtId="183" formatCode="000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"/>
    <numFmt numFmtId="188" formatCode="_(* #,##0.0000_);_(* \(#,##0.0000\);_(* &quot;-&quot;????_);_(@_)"/>
    <numFmt numFmtId="189" formatCode="00000"/>
    <numFmt numFmtId="190" formatCode="00000\-"/>
    <numFmt numFmtId="191" formatCode="0.00\-"/>
    <numFmt numFmtId="192" formatCode="0.0"/>
    <numFmt numFmtId="193" formatCode="_(&quot;Cr$&quot;* #,##0_);_(&quot;Cr$&quot;* \(#,##0\);_(&quot;Cr$&quot;* &quot;-&quot;_);_(@_)"/>
    <numFmt numFmtId="194" formatCode="_(&quot;Cr$&quot;* #,##0.00_);_(&quot;Cr$&quot;* \(#,##0.00\);_(&quot;Cr$&quot;* &quot;-&quot;??_);_(@_)"/>
    <numFmt numFmtId="195" formatCode="&quot;Cr$&quot;#,##0_);\(&quot;Cr$&quot;#,##0\)"/>
    <numFmt numFmtId="196" formatCode="&quot;Cr$&quot;#,##0_);[Red]\(&quot;Cr$&quot;#,##0\)"/>
    <numFmt numFmtId="197" formatCode="&quot;Cr$&quot;#,##0.00_);\(&quot;Cr$&quot;#,##0.00\)"/>
    <numFmt numFmtId="198" formatCode="&quot;Cr$&quot;#,##0.00_);[Red]\(&quot;Cr$&quot;#,##0.00\)"/>
    <numFmt numFmtId="199" formatCode="0.0_);\(0.0\)"/>
    <numFmt numFmtId="200" formatCode="0_);\(0\)"/>
    <numFmt numFmtId="201" formatCode="0.00_);\(0.00\)"/>
    <numFmt numFmtId="202" formatCode="0.000000"/>
    <numFmt numFmtId="203" formatCode="0.00000"/>
    <numFmt numFmtId="204" formatCode="0.0000"/>
    <numFmt numFmtId="205" formatCode="#,##0.0"/>
    <numFmt numFmtId="206" formatCode="#,##0.000"/>
    <numFmt numFmtId="207" formatCode="#,##0.000_);\(#,##0.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_(* #,##0.0_);_(* \(#,##0.0\);_(* &quot;-&quot;?_);_(@_)"/>
    <numFmt numFmtId="215" formatCode="#,##0.0000"/>
    <numFmt numFmtId="216" formatCode="_(* #,##0.000000_);_(* \(#,##0.000000\);_(* &quot;-&quot;??_);_(@_)"/>
    <numFmt numFmtId="217" formatCode="_(* #,##0.0000000_);_(* \(#,##0.0000000\);_(* &quot;-&quot;??_);_(@_)"/>
    <numFmt numFmtId="218" formatCode="_(* #,##0.00000000_);_(* \(#,##0.00000000\);_(* &quot;-&quot;??_);_(@_)"/>
    <numFmt numFmtId="219" formatCode="&quot;Sim&quot;;&quot;Sim&quot;;&quot;Não&quot;"/>
    <numFmt numFmtId="220" formatCode="&quot;Verdadeiro&quot;;&quot;Verdadeiro&quot;;&quot;Falso&quot;"/>
    <numFmt numFmtId="221" formatCode="&quot;Ativar&quot;;&quot;Ativar&quot;;&quot;Desativar&quot;"/>
    <numFmt numFmtId="222" formatCode="[$€-2]\ #,##0.00_);[Red]\([$€-2]\ #,##0.00\)"/>
    <numFmt numFmtId="223" formatCode="#,##0_ ;\-#,##0\ "/>
  </numFmts>
  <fonts count="59">
    <font>
      <sz val="10"/>
      <name val="Arial"/>
      <family val="0"/>
    </font>
    <font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Verdana"/>
      <family val="2"/>
    </font>
    <font>
      <b/>
      <sz val="11"/>
      <name val="Verdana"/>
      <family val="2"/>
    </font>
    <font>
      <b/>
      <vertAlign val="superscript"/>
      <sz val="11"/>
      <color indexed="63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Helv"/>
      <family val="0"/>
    </font>
    <font>
      <b/>
      <u val="single"/>
      <sz val="10"/>
      <name val="Helv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indent="1"/>
    </xf>
    <xf numFmtId="179" fontId="1" fillId="0" borderId="0" xfId="62" applyNumberFormat="1" applyFont="1" applyAlignment="1" applyProtection="1">
      <alignment vertical="center"/>
      <protection locked="0"/>
    </xf>
    <xf numFmtId="179" fontId="1" fillId="0" borderId="0" xfId="62" applyNumberFormat="1" applyFont="1" applyAlignment="1" applyProtection="1">
      <alignment vertical="center"/>
      <protection/>
    </xf>
    <xf numFmtId="179" fontId="5" fillId="0" borderId="10" xfId="62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9" fontId="5" fillId="0" borderId="10" xfId="62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79" fontId="1" fillId="0" borderId="0" xfId="62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179" fontId="1" fillId="0" borderId="0" xfId="62" applyNumberFormat="1" applyFont="1" applyAlignment="1">
      <alignment horizontal="right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179" fontId="5" fillId="33" borderId="10" xfId="62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9" fontId="1" fillId="0" borderId="0" xfId="62" applyNumberFormat="1" applyFont="1" applyBorder="1" applyAlignment="1">
      <alignment horizontal="left" vertical="center"/>
    </xf>
    <xf numFmtId="179" fontId="1" fillId="0" borderId="0" xfId="6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81" fontId="7" fillId="0" borderId="0" xfId="0" applyNumberFormat="1" applyFont="1" applyAlignment="1" applyProtection="1">
      <alignment vertical="center"/>
      <protection locked="0"/>
    </xf>
    <xf numFmtId="0" fontId="4" fillId="32" borderId="10" xfId="0" applyFont="1" applyFill="1" applyBorder="1" applyAlignment="1">
      <alignment horizontal="left" vertical="center"/>
    </xf>
    <xf numFmtId="179" fontId="4" fillId="32" borderId="10" xfId="62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179" fontId="5" fillId="0" borderId="11" xfId="62" applyNumberFormat="1" applyFont="1" applyBorder="1" applyAlignment="1" applyProtection="1">
      <alignment vertical="center"/>
      <protection/>
    </xf>
    <xf numFmtId="179" fontId="1" fillId="0" borderId="11" xfId="62" applyNumberFormat="1" applyFont="1" applyBorder="1" applyAlignment="1" applyProtection="1">
      <alignment vertical="center"/>
      <protection/>
    </xf>
    <xf numFmtId="179" fontId="4" fillId="32" borderId="10" xfId="6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79" fontId="9" fillId="0" borderId="0" xfId="62" applyNumberFormat="1" applyFont="1" applyAlignment="1" applyProtection="1">
      <alignment vertical="center"/>
      <protection locked="0"/>
    </xf>
    <xf numFmtId="0" fontId="10" fillId="34" borderId="0" xfId="0" applyFont="1" applyFill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vertical="center"/>
      <protection/>
    </xf>
    <xf numFmtId="179" fontId="8" fillId="32" borderId="0" xfId="62" applyNumberFormat="1" applyFont="1" applyFill="1" applyAlignment="1" applyProtection="1">
      <alignment vertical="center"/>
      <protection/>
    </xf>
    <xf numFmtId="0" fontId="8" fillId="35" borderId="12" xfId="0" applyFont="1" applyFill="1" applyBorder="1" applyAlignment="1" applyProtection="1">
      <alignment horizontal="left" vertical="center" indent="1"/>
      <protection/>
    </xf>
    <xf numFmtId="179" fontId="8" fillId="35" borderId="12" xfId="62" applyNumberFormat="1" applyFont="1" applyFill="1" applyBorder="1" applyAlignment="1" applyProtection="1">
      <alignment vertical="center"/>
      <protection/>
    </xf>
    <xf numFmtId="0" fontId="8" fillId="35" borderId="10" xfId="0" applyFont="1" applyFill="1" applyBorder="1" applyAlignment="1" applyProtection="1">
      <alignment horizontal="left" vertical="center" indent="1"/>
      <protection/>
    </xf>
    <xf numFmtId="179" fontId="8" fillId="35" borderId="10" xfId="62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indent="2"/>
      <protection/>
    </xf>
    <xf numFmtId="179" fontId="9" fillId="0" borderId="0" xfId="62" applyNumberFormat="1" applyFont="1" applyAlignment="1" applyProtection="1">
      <alignment vertical="center"/>
      <protection/>
    </xf>
    <xf numFmtId="0" fontId="8" fillId="32" borderId="10" xfId="0" applyFont="1" applyFill="1" applyBorder="1" applyAlignment="1" applyProtection="1">
      <alignment horizontal="left" vertical="center" indent="1"/>
      <protection/>
    </xf>
    <xf numFmtId="179" fontId="8" fillId="32" borderId="10" xfId="62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indent="3"/>
      <protection/>
    </xf>
    <xf numFmtId="0" fontId="9" fillId="0" borderId="11" xfId="0" applyFont="1" applyBorder="1" applyAlignment="1" applyProtection="1">
      <alignment horizontal="left" vertical="center" indent="2"/>
      <protection/>
    </xf>
    <xf numFmtId="179" fontId="9" fillId="0" borderId="11" xfId="62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left" vertical="center" indent="2"/>
      <protection/>
    </xf>
    <xf numFmtId="179" fontId="9" fillId="0" borderId="12" xfId="62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1" fontId="1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2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179" fontId="0" fillId="0" borderId="0" xfId="62" applyNumberFormat="1" applyFont="1" applyAlignment="1">
      <alignment vertical="center"/>
    </xf>
    <xf numFmtId="171" fontId="0" fillId="0" borderId="0" xfId="62" applyFont="1" applyAlignment="1">
      <alignment vertical="center"/>
    </xf>
    <xf numFmtId="179" fontId="0" fillId="0" borderId="0" xfId="62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indent="2"/>
    </xf>
    <xf numFmtId="179" fontId="0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0" fillId="0" borderId="0" xfId="62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2"/>
    </xf>
    <xf numFmtId="179" fontId="13" fillId="0" borderId="0" xfId="62" applyNumberFormat="1" applyFont="1" applyFill="1" applyAlignment="1" applyProtection="1">
      <alignment vertical="center"/>
      <protection locked="0"/>
    </xf>
    <xf numFmtId="179" fontId="16" fillId="0" borderId="10" xfId="62" applyNumberFormat="1" applyFont="1" applyFill="1" applyBorder="1" applyAlignment="1" applyProtection="1">
      <alignment vertical="center"/>
      <protection locked="0"/>
    </xf>
    <xf numFmtId="179" fontId="13" fillId="0" borderId="11" xfId="62" applyNumberFormat="1" applyFont="1" applyFill="1" applyBorder="1" applyAlignment="1" applyProtection="1">
      <alignment vertical="center"/>
      <protection locked="0"/>
    </xf>
    <xf numFmtId="179" fontId="13" fillId="0" borderId="12" xfId="62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179" fontId="13" fillId="0" borderId="0" xfId="62" applyNumberFormat="1" applyFont="1" applyFill="1" applyBorder="1" applyAlignment="1" applyProtection="1">
      <alignment vertical="center"/>
      <protection locked="0"/>
    </xf>
    <xf numFmtId="181" fontId="13" fillId="0" borderId="0" xfId="0" applyNumberFormat="1" applyFont="1" applyFill="1" applyAlignment="1" applyProtection="1">
      <alignment vertical="center"/>
      <protection locked="0"/>
    </xf>
    <xf numFmtId="179" fontId="13" fillId="0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indent="2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79" fontId="12" fillId="0" borderId="0" xfId="62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9" fontId="16" fillId="0" borderId="0" xfId="62" applyNumberFormat="1" applyFont="1" applyFill="1" applyBorder="1" applyAlignment="1" applyProtection="1">
      <alignment vertical="center"/>
      <protection/>
    </xf>
    <xf numFmtId="179" fontId="16" fillId="0" borderId="12" xfId="62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justify" vertical="top"/>
    </xf>
    <xf numFmtId="179" fontId="13" fillId="0" borderId="0" xfId="62" applyNumberFormat="1" applyFont="1" applyFill="1" applyAlignment="1" applyProtection="1">
      <alignment horizontal="right" vertical="center"/>
      <protection locked="0"/>
    </xf>
    <xf numFmtId="179" fontId="16" fillId="0" borderId="11" xfId="62" applyNumberFormat="1" applyFont="1" applyFill="1" applyBorder="1" applyAlignment="1" applyProtection="1">
      <alignment vertical="center"/>
      <protection locked="0"/>
    </xf>
    <xf numFmtId="171" fontId="13" fillId="0" borderId="0" xfId="62" applyFont="1" applyFill="1" applyBorder="1" applyAlignment="1" applyProtection="1">
      <alignment horizontal="center" vertical="center"/>
      <protection/>
    </xf>
    <xf numFmtId="169" fontId="13" fillId="0" borderId="0" xfId="62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179" fontId="16" fillId="35" borderId="10" xfId="62" applyNumberFormat="1" applyFont="1" applyFill="1" applyBorder="1" applyAlignment="1" applyProtection="1">
      <alignment vertical="center"/>
      <protection/>
    </xf>
    <xf numFmtId="179" fontId="13" fillId="35" borderId="0" xfId="62" applyNumberFormat="1" applyFont="1" applyFill="1" applyAlignment="1" applyProtection="1">
      <alignment vertical="center"/>
      <protection/>
    </xf>
    <xf numFmtId="179" fontId="16" fillId="35" borderId="10" xfId="62" applyNumberFormat="1" applyFont="1" applyFill="1" applyBorder="1" applyAlignment="1" applyProtection="1">
      <alignment horizontal="left" vertical="center" indent="1"/>
      <protection/>
    </xf>
    <xf numFmtId="179" fontId="13" fillId="37" borderId="13" xfId="62" applyNumberFormat="1" applyFont="1" applyFill="1" applyBorder="1" applyAlignment="1" applyProtection="1">
      <alignment vertical="center"/>
      <protection/>
    </xf>
    <xf numFmtId="0" fontId="16" fillId="35" borderId="0" xfId="0" applyFont="1" applyFill="1" applyAlignment="1" applyProtection="1">
      <alignment vertical="center"/>
      <protection/>
    </xf>
    <xf numFmtId="179" fontId="16" fillId="35" borderId="0" xfId="62" applyNumberFormat="1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/>
      <protection/>
    </xf>
    <xf numFmtId="179" fontId="13" fillId="35" borderId="0" xfId="62" applyNumberFormat="1" applyFont="1" applyFill="1" applyAlignment="1" applyProtection="1">
      <alignment horizontal="right" vertical="center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left" vertical="center" wrapText="1"/>
      <protection/>
    </xf>
    <xf numFmtId="0" fontId="16" fillId="35" borderId="10" xfId="62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left" vertical="center" wrapText="1" indent="1"/>
      <protection/>
    </xf>
    <xf numFmtId="179" fontId="16" fillId="35" borderId="10" xfId="62" applyNumberFormat="1" applyFont="1" applyFill="1" applyBorder="1" applyAlignment="1" applyProtection="1">
      <alignment vertical="center" wrapText="1"/>
      <protection/>
    </xf>
    <xf numFmtId="0" fontId="13" fillId="35" borderId="0" xfId="0" applyFont="1" applyFill="1" applyAlignment="1" applyProtection="1">
      <alignment horizontal="left" vertical="center" wrapText="1" indent="2"/>
      <protection/>
    </xf>
    <xf numFmtId="179" fontId="13" fillId="35" borderId="0" xfId="62" applyNumberFormat="1" applyFont="1" applyFill="1" applyAlignment="1" applyProtection="1">
      <alignment vertical="center" wrapText="1"/>
      <protection/>
    </xf>
    <xf numFmtId="0" fontId="13" fillId="35" borderId="0" xfId="0" applyFont="1" applyFill="1" applyBorder="1" applyAlignment="1" applyProtection="1">
      <alignment horizontal="left" vertical="center" wrapText="1" indent="2"/>
      <protection/>
    </xf>
    <xf numFmtId="179" fontId="13" fillId="35" borderId="0" xfId="62" applyNumberFormat="1" applyFont="1" applyFill="1" applyBorder="1" applyAlignment="1" applyProtection="1">
      <alignment vertical="center" wrapText="1"/>
      <protection/>
    </xf>
    <xf numFmtId="0" fontId="13" fillId="35" borderId="0" xfId="0" applyFont="1" applyFill="1" applyAlignment="1" applyProtection="1">
      <alignment horizontal="left" vertical="center" wrapText="1" indent="1"/>
      <protection/>
    </xf>
    <xf numFmtId="0" fontId="13" fillId="35" borderId="0" xfId="0" applyFont="1" applyFill="1" applyAlignment="1" applyProtection="1">
      <alignment horizontal="left" vertical="center" indent="1"/>
      <protection/>
    </xf>
    <xf numFmtId="179" fontId="13" fillId="35" borderId="0" xfId="62" applyNumberFormat="1" applyFont="1" applyFill="1" applyAlignment="1" applyProtection="1">
      <alignment horizontal="left" vertical="center" wrapText="1" indent="1"/>
      <protection/>
    </xf>
    <xf numFmtId="0" fontId="16" fillId="35" borderId="10" xfId="0" applyFont="1" applyFill="1" applyBorder="1" applyAlignment="1" applyProtection="1">
      <alignment horizontal="left" vertical="center" indent="1"/>
      <protection/>
    </xf>
    <xf numFmtId="179" fontId="16" fillId="35" borderId="10" xfId="62" applyNumberFormat="1" applyFont="1" applyFill="1" applyBorder="1" applyAlignment="1" applyProtection="1">
      <alignment horizontal="left" vertical="center" wrapText="1" indent="1"/>
      <protection/>
    </xf>
    <xf numFmtId="179" fontId="13" fillId="35" borderId="0" xfId="62" applyNumberFormat="1" applyFont="1" applyFill="1" applyBorder="1" applyAlignment="1" applyProtection="1">
      <alignment horizontal="left" vertical="center" wrapText="1" indent="1"/>
      <protection/>
    </xf>
    <xf numFmtId="179" fontId="16" fillId="35" borderId="10" xfId="62" applyNumberFormat="1" applyFont="1" applyFill="1" applyBorder="1" applyAlignment="1" applyProtection="1">
      <alignment horizontal="left" vertical="center" wrapText="1"/>
      <protection/>
    </xf>
    <xf numFmtId="0" fontId="16" fillId="35" borderId="0" xfId="62" applyNumberFormat="1" applyFont="1" applyFill="1" applyBorder="1" applyAlignment="1" applyProtection="1">
      <alignment horizontal="left" vertical="center" indent="1"/>
      <protection/>
    </xf>
    <xf numFmtId="0" fontId="16" fillId="35" borderId="0" xfId="0" applyFont="1" applyFill="1" applyBorder="1" applyAlignment="1" applyProtection="1">
      <alignment horizontal="left" vertical="center" wrapText="1" indent="1"/>
      <protection/>
    </xf>
    <xf numFmtId="0" fontId="16" fillId="35" borderId="12" xfId="0" applyFont="1" applyFill="1" applyBorder="1" applyAlignment="1" applyProtection="1">
      <alignment horizontal="left" vertical="center" wrapText="1" indent="1"/>
      <protection/>
    </xf>
    <xf numFmtId="0" fontId="13" fillId="35" borderId="0" xfId="0" applyFont="1" applyFill="1" applyAlignment="1" applyProtection="1">
      <alignment vertical="center" wrapText="1"/>
      <protection/>
    </xf>
    <xf numFmtId="0" fontId="16" fillId="35" borderId="10" xfId="0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 applyProtection="1">
      <alignment horizontal="left" vertical="center" indent="1"/>
      <protection/>
    </xf>
    <xf numFmtId="0" fontId="16" fillId="35" borderId="10" xfId="0" applyFont="1" applyFill="1" applyBorder="1" applyAlignment="1" applyProtection="1">
      <alignment vertical="center"/>
      <protection/>
    </xf>
    <xf numFmtId="0" fontId="16" fillId="35" borderId="0" xfId="62" applyNumberFormat="1" applyFont="1" applyFill="1" applyBorder="1" applyAlignment="1" applyProtection="1">
      <alignment horizontal="left" vertical="center"/>
      <protection/>
    </xf>
    <xf numFmtId="0" fontId="16" fillId="35" borderId="0" xfId="0" applyFont="1" applyFill="1" applyBorder="1" applyAlignment="1" applyProtection="1">
      <alignment horizontal="left" vertical="center" wrapText="1"/>
      <protection/>
    </xf>
    <xf numFmtId="0" fontId="16" fillId="35" borderId="12" xfId="0" applyFont="1" applyFill="1" applyBorder="1" applyAlignment="1" applyProtection="1">
      <alignment horizontal="left" vertical="center" wrapText="1"/>
      <protection/>
    </xf>
    <xf numFmtId="181" fontId="16" fillId="35" borderId="10" xfId="51" applyNumberFormat="1" applyFont="1" applyFill="1" applyBorder="1" applyAlignment="1" applyProtection="1">
      <alignment vertical="center"/>
      <protection/>
    </xf>
    <xf numFmtId="0" fontId="16" fillId="35" borderId="11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/>
      <protection/>
    </xf>
    <xf numFmtId="1" fontId="16" fillId="35" borderId="11" xfId="0" applyNumberFormat="1" applyFont="1" applyFill="1" applyBorder="1" applyAlignment="1" applyProtection="1">
      <alignment horizontal="center" vertical="center"/>
      <protection/>
    </xf>
    <xf numFmtId="0" fontId="16" fillId="35" borderId="14" xfId="0" applyFont="1" applyFill="1" applyBorder="1" applyAlignment="1" applyProtection="1">
      <alignment horizontal="left" vertical="center"/>
      <protection/>
    </xf>
    <xf numFmtId="0" fontId="16" fillId="35" borderId="14" xfId="0" applyFont="1" applyFill="1" applyBorder="1" applyAlignment="1" applyProtection="1">
      <alignment horizontal="left" vertical="center" indent="1"/>
      <protection/>
    </xf>
    <xf numFmtId="0" fontId="13" fillId="35" borderId="0" xfId="0" applyFont="1" applyFill="1" applyBorder="1" applyAlignment="1" applyProtection="1">
      <alignment horizontal="left" vertical="center"/>
      <protection/>
    </xf>
    <xf numFmtId="179" fontId="13" fillId="35" borderId="0" xfId="62" applyNumberFormat="1" applyFont="1" applyFill="1" applyBorder="1" applyAlignment="1" applyProtection="1">
      <alignment horizontal="left" vertical="center"/>
      <protection/>
    </xf>
    <xf numFmtId="179" fontId="13" fillId="35" borderId="0" xfId="62" applyNumberFormat="1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horizontal="left" vertical="center"/>
      <protection/>
    </xf>
    <xf numFmtId="0" fontId="16" fillId="35" borderId="11" xfId="0" applyFont="1" applyFill="1" applyBorder="1" applyAlignment="1" applyProtection="1">
      <alignment horizontal="left" vertical="center"/>
      <protection/>
    </xf>
    <xf numFmtId="179" fontId="16" fillId="35" borderId="11" xfId="62" applyNumberFormat="1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left" vertical="center" indent="1"/>
      <protection/>
    </xf>
    <xf numFmtId="179" fontId="16" fillId="35" borderId="0" xfId="62" applyNumberFormat="1" applyFont="1" applyFill="1" applyBorder="1" applyAlignment="1" applyProtection="1">
      <alignment vertical="center"/>
      <protection/>
    </xf>
    <xf numFmtId="0" fontId="16" fillId="35" borderId="12" xfId="0" applyFont="1" applyFill="1" applyBorder="1" applyAlignment="1" applyProtection="1">
      <alignment horizontal="left" vertical="center" indent="1"/>
      <protection/>
    </xf>
    <xf numFmtId="179" fontId="16" fillId="35" borderId="12" xfId="62" applyNumberFormat="1" applyFont="1" applyFill="1" applyBorder="1" applyAlignment="1" applyProtection="1">
      <alignment vertical="center"/>
      <protection/>
    </xf>
    <xf numFmtId="1" fontId="16" fillId="35" borderId="15" xfId="62" applyNumberFormat="1" applyFont="1" applyFill="1" applyBorder="1" applyAlignment="1" applyProtection="1">
      <alignment horizontal="center" vertical="center" wrapText="1"/>
      <protection/>
    </xf>
    <xf numFmtId="1" fontId="16" fillId="35" borderId="16" xfId="62" applyNumberFormat="1" applyFont="1" applyFill="1" applyBorder="1" applyAlignment="1" applyProtection="1">
      <alignment horizontal="center" vertical="center" wrapText="1"/>
      <protection/>
    </xf>
    <xf numFmtId="0" fontId="13" fillId="35" borderId="0" xfId="62" applyNumberFormat="1" applyFont="1" applyFill="1" applyBorder="1" applyAlignment="1" applyProtection="1">
      <alignment horizontal="left" vertical="center"/>
      <protection/>
    </xf>
    <xf numFmtId="0" fontId="13" fillId="35" borderId="0" xfId="62" applyNumberFormat="1" applyFont="1" applyFill="1" applyAlignment="1" applyProtection="1">
      <alignment horizontal="left" vertical="center"/>
      <protection/>
    </xf>
    <xf numFmtId="0" fontId="16" fillId="35" borderId="10" xfId="62" applyNumberFormat="1" applyFont="1" applyFill="1" applyBorder="1" applyAlignment="1" applyProtection="1">
      <alignment horizontal="justify" vertical="center"/>
      <protection/>
    </xf>
    <xf numFmtId="0" fontId="16" fillId="35" borderId="10" xfId="62" applyNumberFormat="1" applyFont="1" applyFill="1" applyBorder="1" applyAlignment="1" applyProtection="1">
      <alignment vertical="center"/>
      <protection/>
    </xf>
    <xf numFmtId="10" fontId="16" fillId="35" borderId="17" xfId="51" applyNumberFormat="1" applyFont="1" applyFill="1" applyBorder="1" applyAlignment="1" applyProtection="1">
      <alignment vertical="center"/>
      <protection/>
    </xf>
    <xf numFmtId="0" fontId="13" fillId="35" borderId="0" xfId="0" applyFont="1" applyFill="1" applyAlignment="1" applyProtection="1">
      <alignment horizontal="left" vertical="center" indent="2"/>
      <protection/>
    </xf>
    <xf numFmtId="0" fontId="13" fillId="35" borderId="0" xfId="0" applyFont="1" applyFill="1" applyBorder="1" applyAlignment="1" applyProtection="1">
      <alignment/>
      <protection/>
    </xf>
    <xf numFmtId="0" fontId="13" fillId="35" borderId="0" xfId="0" applyFont="1" applyFill="1" applyBorder="1" applyAlignment="1" applyProtection="1">
      <alignment horizontal="right"/>
      <protection/>
    </xf>
    <xf numFmtId="1" fontId="16" fillId="35" borderId="0" xfId="0" applyNumberFormat="1" applyFont="1" applyFill="1" applyBorder="1" applyAlignment="1" applyProtection="1">
      <alignment horizontal="center" vertical="center"/>
      <protection/>
    </xf>
    <xf numFmtId="169" fontId="16" fillId="35" borderId="10" xfId="0" applyNumberFormat="1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left" vertical="center" indent="2"/>
      <protection/>
    </xf>
    <xf numFmtId="169" fontId="13" fillId="35" borderId="0" xfId="62" applyNumberFormat="1" applyFont="1" applyFill="1" applyBorder="1" applyAlignment="1" applyProtection="1">
      <alignment vertical="center"/>
      <protection/>
    </xf>
    <xf numFmtId="169" fontId="16" fillId="35" borderId="10" xfId="62" applyNumberFormat="1" applyFont="1" applyFill="1" applyBorder="1" applyAlignment="1" applyProtection="1">
      <alignment vertical="center"/>
      <protection/>
    </xf>
    <xf numFmtId="169" fontId="16" fillId="35" borderId="12" xfId="62" applyNumberFormat="1" applyFont="1" applyFill="1" applyBorder="1" applyAlignment="1" applyProtection="1">
      <alignment vertical="center"/>
      <protection/>
    </xf>
    <xf numFmtId="169" fontId="13" fillId="35" borderId="0" xfId="62" applyNumberFormat="1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left" vertical="center" indent="2"/>
      <protection/>
    </xf>
    <xf numFmtId="169" fontId="16" fillId="35" borderId="10" xfId="62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49" fontId="18" fillId="35" borderId="19" xfId="0" applyNumberFormat="1" applyFont="1" applyFill="1" applyBorder="1" applyAlignment="1">
      <alignment horizontal="center" vertical="center" wrapText="1"/>
    </xf>
    <xf numFmtId="0" fontId="18" fillId="37" borderId="20" xfId="0" applyFont="1" applyFill="1" applyBorder="1" applyAlignment="1" applyProtection="1">
      <alignment/>
      <protection locked="0"/>
    </xf>
    <xf numFmtId="10" fontId="18" fillId="37" borderId="21" xfId="0" applyNumberFormat="1" applyFont="1" applyFill="1" applyBorder="1" applyAlignment="1" applyProtection="1">
      <alignment horizontal="center"/>
      <protection locked="0"/>
    </xf>
    <xf numFmtId="0" fontId="18" fillId="37" borderId="20" xfId="0" applyFont="1" applyFill="1" applyBorder="1" applyAlignment="1">
      <alignment/>
    </xf>
    <xf numFmtId="0" fontId="18" fillId="38" borderId="20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10" fontId="18" fillId="0" borderId="21" xfId="0" applyNumberFormat="1" applyFont="1" applyFill="1" applyBorder="1" applyAlignment="1" applyProtection="1">
      <alignment horizontal="center"/>
      <protection locked="0"/>
    </xf>
    <xf numFmtId="38" fontId="18" fillId="0" borderId="0" xfId="0" applyNumberFormat="1" applyFont="1" applyFill="1" applyBorder="1" applyAlignment="1" applyProtection="1">
      <alignment horizontal="left" vertical="center"/>
      <protection locked="0"/>
    </xf>
    <xf numFmtId="0" fontId="18" fillId="37" borderId="2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38" fontId="19" fillId="35" borderId="0" xfId="0" applyNumberFormat="1" applyFont="1" applyFill="1" applyBorder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2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204" fontId="16" fillId="35" borderId="0" xfId="0" applyNumberFormat="1" applyFont="1" applyFill="1" applyAlignment="1" applyProtection="1">
      <alignment vertical="center"/>
      <protection/>
    </xf>
    <xf numFmtId="204" fontId="13" fillId="35" borderId="0" xfId="0" applyNumberFormat="1" applyFont="1" applyFill="1" applyAlignment="1" applyProtection="1">
      <alignment vertical="center"/>
      <protection/>
    </xf>
    <xf numFmtId="204" fontId="13" fillId="35" borderId="0" xfId="0" applyNumberFormat="1" applyFont="1" applyFill="1" applyAlignment="1" applyProtection="1">
      <alignment horizontal="right" vertical="center"/>
      <protection/>
    </xf>
    <xf numFmtId="204" fontId="16" fillId="35" borderId="10" xfId="0" applyNumberFormat="1" applyFont="1" applyFill="1" applyBorder="1" applyAlignment="1" applyProtection="1">
      <alignment vertical="center"/>
      <protection/>
    </xf>
    <xf numFmtId="0" fontId="13" fillId="35" borderId="0" xfId="0" applyFont="1" applyFill="1" applyAlignment="1" applyProtection="1">
      <alignment horizontal="left" vertical="center" indent="3"/>
      <protection/>
    </xf>
    <xf numFmtId="0" fontId="13" fillId="35" borderId="11" xfId="0" applyFont="1" applyFill="1" applyBorder="1" applyAlignment="1" applyProtection="1">
      <alignment horizontal="left" vertical="center" indent="2"/>
      <protection/>
    </xf>
    <xf numFmtId="0" fontId="13" fillId="35" borderId="12" xfId="0" applyFont="1" applyFill="1" applyBorder="1" applyAlignment="1" applyProtection="1">
      <alignment horizontal="left" vertical="center" indent="2"/>
      <protection/>
    </xf>
    <xf numFmtId="0" fontId="16" fillId="35" borderId="10" xfId="0" applyFont="1" applyFill="1" applyBorder="1" applyAlignment="1" applyProtection="1">
      <alignment horizontal="left" vertical="center" indent="3"/>
      <protection/>
    </xf>
    <xf numFmtId="0" fontId="13" fillId="35" borderId="0" xfId="0" applyFont="1" applyFill="1" applyAlignment="1" applyProtection="1">
      <alignment horizontal="left" vertical="center" indent="4"/>
      <protection/>
    </xf>
    <xf numFmtId="0" fontId="16" fillId="35" borderId="11" xfId="0" applyFont="1" applyFill="1" applyBorder="1" applyAlignment="1" applyProtection="1">
      <alignment horizontal="left" vertical="center" indent="1"/>
      <protection/>
    </xf>
    <xf numFmtId="0" fontId="16" fillId="35" borderId="17" xfId="0" applyFont="1" applyFill="1" applyBorder="1" applyAlignment="1" applyProtection="1">
      <alignment horizontal="left" vertical="center" indent="1"/>
      <protection/>
    </xf>
    <xf numFmtId="179" fontId="16" fillId="35" borderId="22" xfId="62" applyNumberFormat="1" applyFon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13" fillId="37" borderId="0" xfId="0" applyFont="1" applyFill="1" applyAlignment="1" applyProtection="1">
      <alignment horizontal="right" vertical="center"/>
      <protection/>
    </xf>
    <xf numFmtId="0" fontId="16" fillId="37" borderId="22" xfId="0" applyFont="1" applyFill="1" applyBorder="1" applyAlignment="1" applyProtection="1">
      <alignment horizontal="center" vertical="center"/>
      <protection/>
    </xf>
    <xf numFmtId="49" fontId="16" fillId="37" borderId="16" xfId="0" applyNumberFormat="1" applyFont="1" applyFill="1" applyBorder="1" applyAlignment="1" applyProtection="1">
      <alignment horizontal="center" vertical="center" wrapText="1"/>
      <protection/>
    </xf>
    <xf numFmtId="49" fontId="16" fillId="37" borderId="17" xfId="0" applyNumberFormat="1" applyFont="1" applyFill="1" applyBorder="1" applyAlignment="1" applyProtection="1">
      <alignment horizontal="center" vertical="center" wrapText="1"/>
      <protection/>
    </xf>
    <xf numFmtId="49" fontId="16" fillId="37" borderId="10" xfId="0" applyNumberFormat="1" applyFont="1" applyFill="1" applyBorder="1" applyAlignment="1" applyProtection="1">
      <alignment vertical="center"/>
      <protection/>
    </xf>
    <xf numFmtId="179" fontId="16" fillId="37" borderId="17" xfId="62" applyNumberFormat="1" applyFont="1" applyFill="1" applyBorder="1" applyAlignment="1" applyProtection="1">
      <alignment vertical="center"/>
      <protection/>
    </xf>
    <xf numFmtId="49" fontId="16" fillId="37" borderId="10" xfId="0" applyNumberFormat="1" applyFont="1" applyFill="1" applyBorder="1" applyAlignment="1" applyProtection="1">
      <alignment horizontal="left" vertical="center"/>
      <protection/>
    </xf>
    <xf numFmtId="49" fontId="13" fillId="37" borderId="0" xfId="0" applyNumberFormat="1" applyFont="1" applyFill="1" applyBorder="1" applyAlignment="1" applyProtection="1">
      <alignment horizontal="left" vertical="center"/>
      <protection/>
    </xf>
    <xf numFmtId="0" fontId="13" fillId="37" borderId="0" xfId="0" applyFont="1" applyFill="1" applyAlignment="1" applyProtection="1">
      <alignment horizontal="left" vertical="center" indent="1"/>
      <protection/>
    </xf>
    <xf numFmtId="49" fontId="13" fillId="37" borderId="0" xfId="0" applyNumberFormat="1" applyFont="1" applyFill="1" applyBorder="1" applyAlignment="1" applyProtection="1">
      <alignment horizontal="left" vertical="center" indent="1"/>
      <protection/>
    </xf>
    <xf numFmtId="179" fontId="13" fillId="35" borderId="12" xfId="62" applyNumberFormat="1" applyFont="1" applyFill="1" applyBorder="1" applyAlignment="1" applyProtection="1">
      <alignment horizontal="left" vertical="center" wrapText="1" indent="1"/>
      <protection/>
    </xf>
    <xf numFmtId="179" fontId="0" fillId="35" borderId="0" xfId="62" applyNumberFormat="1" applyFont="1" applyFill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10" fontId="11" fillId="35" borderId="1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Alignment="1" applyProtection="1">
      <alignment vertical="center"/>
      <protection/>
    </xf>
    <xf numFmtId="49" fontId="16" fillId="35" borderId="11" xfId="0" applyNumberFormat="1" applyFont="1" applyFill="1" applyBorder="1" applyAlignment="1" applyProtection="1">
      <alignment horizontal="center" vertical="center" wrapText="1"/>
      <protection/>
    </xf>
    <xf numFmtId="10" fontId="11" fillId="35" borderId="10" xfId="0" applyNumberFormat="1" applyFont="1" applyFill="1" applyBorder="1" applyAlignment="1" applyProtection="1">
      <alignment horizontal="center" vertical="center"/>
      <protection/>
    </xf>
    <xf numFmtId="49" fontId="16" fillId="35" borderId="17" xfId="0" applyNumberFormat="1" applyFont="1" applyFill="1" applyBorder="1" applyAlignment="1" applyProtection="1">
      <alignment horizontal="center" vertical="center" wrapText="1"/>
      <protection/>
    </xf>
    <xf numFmtId="10" fontId="16" fillId="35" borderId="16" xfId="51" applyNumberFormat="1" applyFont="1" applyFill="1" applyBorder="1" applyAlignment="1" applyProtection="1">
      <alignment vertical="center"/>
      <protection/>
    </xf>
    <xf numFmtId="0" fontId="11" fillId="39" borderId="12" xfId="0" applyFont="1" applyFill="1" applyBorder="1" applyAlignment="1">
      <alignment horizontal="center" wrapText="1"/>
    </xf>
    <xf numFmtId="0" fontId="22" fillId="39" borderId="0" xfId="0" applyFont="1" applyFill="1" applyBorder="1" applyAlignment="1">
      <alignment horizontal="center" wrapText="1"/>
    </xf>
    <xf numFmtId="179" fontId="13" fillId="0" borderId="0" xfId="62" applyNumberFormat="1" applyFont="1" applyFill="1" applyBorder="1" applyAlignment="1" applyProtection="1">
      <alignment horizontal="right" vertical="center" wrapText="1" indent="1"/>
      <protection locked="0"/>
    </xf>
    <xf numFmtId="179" fontId="13" fillId="0" borderId="12" xfId="62" applyNumberFormat="1" applyFont="1" applyFill="1" applyBorder="1" applyAlignment="1" applyProtection="1">
      <alignment horizontal="right" vertical="center" wrapText="1" indent="1"/>
      <protection locked="0"/>
    </xf>
    <xf numFmtId="0" fontId="13" fillId="35" borderId="0" xfId="0" applyFont="1" applyFill="1" applyAlignment="1" applyProtection="1">
      <alignment horizontal="left" vertical="center"/>
      <protection/>
    </xf>
    <xf numFmtId="179" fontId="13" fillId="39" borderId="0" xfId="62" applyNumberFormat="1" applyFont="1" applyFill="1" applyAlignment="1" applyProtection="1">
      <alignment vertical="center"/>
      <protection locked="0"/>
    </xf>
    <xf numFmtId="179" fontId="13" fillId="37" borderId="16" xfId="62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 wrapText="1" indent="2"/>
      <protection/>
    </xf>
    <xf numFmtId="179" fontId="13" fillId="0" borderId="0" xfId="62" applyNumberFormat="1" applyFont="1" applyFill="1" applyBorder="1" applyAlignment="1" applyProtection="1">
      <alignment horizontal="left" vertical="center" wrapText="1" indent="1"/>
      <protection/>
    </xf>
    <xf numFmtId="0" fontId="16" fillId="35" borderId="11" xfId="0" applyFont="1" applyFill="1" applyBorder="1" applyAlignment="1" applyProtection="1">
      <alignment horizontal="left" vertical="center" wrapText="1" indent="1"/>
      <protection/>
    </xf>
    <xf numFmtId="179" fontId="16" fillId="35" borderId="11" xfId="62" applyNumberFormat="1" applyFont="1" applyFill="1" applyBorder="1" applyAlignment="1" applyProtection="1">
      <alignment horizontal="left" vertical="center" wrapText="1" indent="1"/>
      <protection/>
    </xf>
    <xf numFmtId="0" fontId="16" fillId="35" borderId="17" xfId="0" applyFont="1" applyFill="1" applyBorder="1" applyAlignment="1" applyProtection="1">
      <alignment horizontal="left" vertical="center" wrapText="1" indent="2"/>
      <protection/>
    </xf>
    <xf numFmtId="179" fontId="13" fillId="35" borderId="10" xfId="62" applyNumberFormat="1" applyFont="1" applyFill="1" applyBorder="1" applyAlignment="1" applyProtection="1">
      <alignment horizontal="left" vertical="center" wrapText="1" indent="1"/>
      <protection/>
    </xf>
    <xf numFmtId="0" fontId="16" fillId="35" borderId="17" xfId="0" applyFont="1" applyFill="1" applyBorder="1" applyAlignment="1" applyProtection="1">
      <alignment horizontal="left" vertical="center"/>
      <protection/>
    </xf>
    <xf numFmtId="41" fontId="13" fillId="0" borderId="0" xfId="0" applyNumberFormat="1" applyFont="1" applyFill="1" applyBorder="1" applyAlignment="1" applyProtection="1">
      <alignment horizontal="right" vertical="center" wrapText="1"/>
      <protection/>
    </xf>
    <xf numFmtId="41" fontId="16" fillId="35" borderId="10" xfId="62" applyNumberFormat="1" applyFont="1" applyFill="1" applyBorder="1" applyAlignment="1" applyProtection="1">
      <alignment vertical="center" wrapText="1"/>
      <protection/>
    </xf>
    <xf numFmtId="41" fontId="13" fillId="35" borderId="0" xfId="62" applyNumberFormat="1" applyFont="1" applyFill="1" applyAlignment="1" applyProtection="1">
      <alignment vertical="center" wrapText="1"/>
      <protection/>
    </xf>
    <xf numFmtId="41" fontId="13" fillId="35" borderId="0" xfId="62" applyNumberFormat="1" applyFont="1" applyFill="1" applyBorder="1" applyAlignment="1" applyProtection="1">
      <alignment vertical="center" wrapText="1"/>
      <protection/>
    </xf>
    <xf numFmtId="41" fontId="13" fillId="35" borderId="0" xfId="62" applyNumberFormat="1" applyFont="1" applyFill="1" applyAlignment="1" applyProtection="1">
      <alignment horizontal="left" vertical="center" wrapText="1" indent="1"/>
      <protection/>
    </xf>
    <xf numFmtId="41" fontId="16" fillId="35" borderId="10" xfId="62" applyNumberFormat="1" applyFont="1" applyFill="1" applyBorder="1" applyAlignment="1" applyProtection="1">
      <alignment horizontal="left" vertical="center" wrapText="1" indent="1"/>
      <protection/>
    </xf>
    <xf numFmtId="41" fontId="16" fillId="35" borderId="0" xfId="62" applyNumberFormat="1" applyFont="1" applyFill="1" applyBorder="1" applyAlignment="1" applyProtection="1">
      <alignment vertical="center"/>
      <protection/>
    </xf>
    <xf numFmtId="41" fontId="16" fillId="35" borderId="10" xfId="62" applyNumberFormat="1" applyFont="1" applyFill="1" applyBorder="1" applyAlignment="1" applyProtection="1">
      <alignment vertical="center"/>
      <protection/>
    </xf>
    <xf numFmtId="41" fontId="16" fillId="35" borderId="22" xfId="62" applyNumberFormat="1" applyFont="1" applyFill="1" applyBorder="1" applyAlignment="1" applyProtection="1">
      <alignment vertical="center"/>
      <protection/>
    </xf>
    <xf numFmtId="41" fontId="16" fillId="35" borderId="10" xfId="0" applyNumberFormat="1" applyFont="1" applyFill="1" applyBorder="1" applyAlignment="1" applyProtection="1">
      <alignment horizontal="center" vertical="center"/>
      <protection/>
    </xf>
    <xf numFmtId="41" fontId="13" fillId="35" borderId="10" xfId="0" applyNumberFormat="1" applyFont="1" applyFill="1" applyBorder="1" applyAlignment="1" applyProtection="1">
      <alignment vertical="center"/>
      <protection/>
    </xf>
    <xf numFmtId="41" fontId="13" fillId="0" borderId="0" xfId="62" applyNumberFormat="1" applyFont="1" applyFill="1" applyBorder="1" applyAlignment="1" applyProtection="1">
      <alignment horizontal="right" vertical="center"/>
      <protection/>
    </xf>
    <xf numFmtId="41" fontId="13" fillId="0" borderId="0" xfId="62" applyNumberFormat="1" applyFont="1" applyFill="1" applyBorder="1" applyAlignment="1" applyProtection="1">
      <alignment horizontal="right" vertical="center"/>
      <protection locked="0"/>
    </xf>
    <xf numFmtId="41" fontId="13" fillId="0" borderId="0" xfId="62" applyNumberFormat="1" applyFont="1" applyFill="1" applyAlignment="1" applyProtection="1">
      <alignment horizontal="right" vertical="center"/>
      <protection locked="0"/>
    </xf>
    <xf numFmtId="41" fontId="13" fillId="35" borderId="0" xfId="62" applyNumberFormat="1" applyFont="1" applyFill="1" applyAlignment="1" applyProtection="1">
      <alignment vertical="center"/>
      <protection/>
    </xf>
    <xf numFmtId="41" fontId="16" fillId="35" borderId="23" xfId="62" applyNumberFormat="1" applyFont="1" applyFill="1" applyBorder="1" applyAlignment="1" applyProtection="1">
      <alignment vertical="center"/>
      <protection/>
    </xf>
    <xf numFmtId="41" fontId="13" fillId="35" borderId="23" xfId="62" applyNumberFormat="1" applyFont="1" applyFill="1" applyBorder="1" applyAlignment="1" applyProtection="1">
      <alignment vertical="center"/>
      <protection/>
    </xf>
    <xf numFmtId="41" fontId="13" fillId="35" borderId="24" xfId="62" applyNumberFormat="1" applyFont="1" applyFill="1" applyBorder="1" applyAlignment="1" applyProtection="1">
      <alignment vertical="center"/>
      <protection/>
    </xf>
    <xf numFmtId="41" fontId="16" fillId="35" borderId="12" xfId="62" applyNumberFormat="1" applyFont="1" applyFill="1" applyBorder="1" applyAlignment="1" applyProtection="1">
      <alignment vertical="center"/>
      <protection/>
    </xf>
    <xf numFmtId="41" fontId="13" fillId="35" borderId="0" xfId="62" applyNumberFormat="1" applyFont="1" applyFill="1" applyBorder="1" applyAlignment="1" applyProtection="1">
      <alignment vertical="center"/>
      <protection/>
    </xf>
    <xf numFmtId="41" fontId="16" fillId="35" borderId="11" xfId="62" applyNumberFormat="1" applyFont="1" applyFill="1" applyBorder="1" applyAlignment="1" applyProtection="1">
      <alignment horizontal="center" vertical="center"/>
      <protection/>
    </xf>
    <xf numFmtId="0" fontId="16" fillId="35" borderId="25" xfId="0" applyFont="1" applyFill="1" applyBorder="1" applyAlignment="1" applyProtection="1">
      <alignment vertical="center"/>
      <protection/>
    </xf>
    <xf numFmtId="41" fontId="16" fillId="35" borderId="26" xfId="62" applyNumberFormat="1" applyFont="1" applyFill="1" applyBorder="1" applyAlignment="1" applyProtection="1">
      <alignment vertical="center"/>
      <protection/>
    </xf>
    <xf numFmtId="0" fontId="16" fillId="35" borderId="27" xfId="0" applyFont="1" applyFill="1" applyBorder="1" applyAlignment="1" applyProtection="1">
      <alignment horizontal="left" vertical="center" indent="2"/>
      <protection/>
    </xf>
    <xf numFmtId="41" fontId="16" fillId="35" borderId="12" xfId="0" applyNumberFormat="1" applyFont="1" applyFill="1" applyBorder="1" applyAlignment="1" applyProtection="1">
      <alignment horizontal="right" vertical="center"/>
      <protection/>
    </xf>
    <xf numFmtId="41" fontId="16" fillId="35" borderId="15" xfId="0" applyNumberFormat="1" applyFont="1" applyFill="1" applyBorder="1" applyAlignment="1" applyProtection="1">
      <alignment horizontal="right" vertical="center"/>
      <protection/>
    </xf>
    <xf numFmtId="0" fontId="16" fillId="35" borderId="17" xfId="0" applyFont="1" applyFill="1" applyBorder="1" applyAlignment="1" applyProtection="1">
      <alignment horizontal="left" vertical="center" indent="2"/>
      <protection/>
    </xf>
    <xf numFmtId="41" fontId="16" fillId="35" borderId="10" xfId="0" applyNumberFormat="1" applyFont="1" applyFill="1" applyBorder="1" applyAlignment="1" applyProtection="1">
      <alignment horizontal="right" vertical="center"/>
      <protection/>
    </xf>
    <xf numFmtId="41" fontId="16" fillId="35" borderId="22" xfId="0" applyNumberFormat="1" applyFont="1" applyFill="1" applyBorder="1" applyAlignment="1" applyProtection="1">
      <alignment horizontal="right" vertical="center"/>
      <protection/>
    </xf>
    <xf numFmtId="223" fontId="13" fillId="35" borderId="10" xfId="62" applyNumberFormat="1" applyFont="1" applyFill="1" applyBorder="1" applyAlignment="1" applyProtection="1">
      <alignment vertical="center"/>
      <protection/>
    </xf>
    <xf numFmtId="41" fontId="13" fillId="0" borderId="0" xfId="62" applyNumberFormat="1" applyFont="1" applyFill="1" applyBorder="1" applyAlignment="1" applyProtection="1">
      <alignment vertical="center"/>
      <protection locked="0"/>
    </xf>
    <xf numFmtId="0" fontId="16" fillId="35" borderId="28" xfId="0" applyFont="1" applyFill="1" applyBorder="1" applyAlignment="1" applyProtection="1">
      <alignment horizontal="left" vertical="center"/>
      <protection/>
    </xf>
    <xf numFmtId="41" fontId="16" fillId="35" borderId="29" xfId="62" applyNumberFormat="1" applyFont="1" applyFill="1" applyBorder="1" applyAlignment="1" applyProtection="1">
      <alignment horizontal="center" vertical="center"/>
      <protection/>
    </xf>
    <xf numFmtId="0" fontId="16" fillId="35" borderId="27" xfId="0" applyFont="1" applyFill="1" applyBorder="1" applyAlignment="1" applyProtection="1">
      <alignment horizontal="left" vertical="center" indent="1"/>
      <protection/>
    </xf>
    <xf numFmtId="41" fontId="13" fillId="0" borderId="12" xfId="62" applyNumberFormat="1" applyFont="1" applyFill="1" applyBorder="1" applyAlignment="1" applyProtection="1">
      <alignment vertical="center"/>
      <protection locked="0"/>
    </xf>
    <xf numFmtId="41" fontId="13" fillId="35" borderId="12" xfId="62" applyNumberFormat="1" applyFont="1" applyFill="1" applyBorder="1" applyAlignment="1" applyProtection="1">
      <alignment vertical="center"/>
      <protection/>
    </xf>
    <xf numFmtId="41" fontId="13" fillId="35" borderId="15" xfId="62" applyNumberFormat="1" applyFont="1" applyFill="1" applyBorder="1" applyAlignment="1" applyProtection="1">
      <alignment vertical="center"/>
      <protection/>
    </xf>
    <xf numFmtId="41" fontId="13" fillId="0" borderId="30" xfId="62" applyNumberFormat="1" applyFont="1" applyFill="1" applyBorder="1" applyAlignment="1" applyProtection="1">
      <alignment horizontal="right" vertical="center"/>
      <protection/>
    </xf>
    <xf numFmtId="41" fontId="13" fillId="0" borderId="0" xfId="62" applyNumberFormat="1" applyFont="1" applyFill="1" applyBorder="1" applyAlignment="1" applyProtection="1">
      <alignment horizontal="right" vertical="center" indent="2"/>
      <protection locked="0"/>
    </xf>
    <xf numFmtId="41" fontId="13" fillId="0" borderId="13" xfId="62" applyNumberFormat="1" applyFont="1" applyFill="1" applyBorder="1" applyAlignment="1" applyProtection="1">
      <alignment horizontal="right" vertical="center" indent="2"/>
      <protection locked="0"/>
    </xf>
    <xf numFmtId="41" fontId="13" fillId="35" borderId="13" xfId="62" applyNumberFormat="1" applyFont="1" applyFill="1" applyBorder="1" applyAlignment="1" applyProtection="1">
      <alignment horizontal="left" vertical="center" indent="2"/>
      <protection/>
    </xf>
    <xf numFmtId="41" fontId="13" fillId="35" borderId="30" xfId="62" applyNumberFormat="1" applyFont="1" applyFill="1" applyBorder="1" applyAlignment="1" applyProtection="1">
      <alignment horizontal="left" vertical="center" indent="2"/>
      <protection/>
    </xf>
    <xf numFmtId="41" fontId="16" fillId="35" borderId="17" xfId="62" applyNumberFormat="1" applyFont="1" applyFill="1" applyBorder="1" applyAlignment="1" applyProtection="1">
      <alignment horizontal="left" vertical="center" indent="1"/>
      <protection/>
    </xf>
    <xf numFmtId="41" fontId="16" fillId="35" borderId="16" xfId="62" applyNumberFormat="1" applyFont="1" applyFill="1" applyBorder="1" applyAlignment="1" applyProtection="1">
      <alignment horizontal="left" vertical="center" indent="1"/>
      <protection/>
    </xf>
    <xf numFmtId="41" fontId="16" fillId="35" borderId="17" xfId="62" applyNumberFormat="1" applyFont="1" applyFill="1" applyBorder="1" applyAlignment="1" applyProtection="1">
      <alignment vertical="center"/>
      <protection/>
    </xf>
    <xf numFmtId="41" fontId="16" fillId="35" borderId="16" xfId="62" applyNumberFormat="1" applyFont="1" applyFill="1" applyBorder="1" applyAlignment="1" applyProtection="1">
      <alignment vertical="center"/>
      <protection/>
    </xf>
    <xf numFmtId="41" fontId="13" fillId="0" borderId="0" xfId="62" applyNumberFormat="1" applyFont="1" applyFill="1" applyBorder="1" applyAlignment="1" applyProtection="1">
      <alignment horizontal="left" vertical="center"/>
      <protection/>
    </xf>
    <xf numFmtId="41" fontId="13" fillId="0" borderId="13" xfId="62" applyNumberFormat="1" applyFont="1" applyFill="1" applyBorder="1" applyAlignment="1" applyProtection="1">
      <alignment horizontal="left" vertical="center" indent="2"/>
      <protection locked="0"/>
    </xf>
    <xf numFmtId="41" fontId="13" fillId="0" borderId="0" xfId="62" applyNumberFormat="1" applyFont="1" applyFill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 indent="1"/>
      <protection/>
    </xf>
    <xf numFmtId="41" fontId="13" fillId="0" borderId="0" xfId="62" applyNumberFormat="1" applyFont="1" applyFill="1" applyBorder="1" applyAlignment="1" applyProtection="1">
      <alignment vertical="center"/>
      <protection/>
    </xf>
    <xf numFmtId="0" fontId="16" fillId="4" borderId="28" xfId="0" applyFont="1" applyFill="1" applyBorder="1" applyAlignment="1" applyProtection="1">
      <alignment horizontal="left" vertical="center" indent="1"/>
      <protection/>
    </xf>
    <xf numFmtId="10" fontId="13" fillId="4" borderId="11" xfId="62" applyNumberFormat="1" applyFont="1" applyFill="1" applyBorder="1" applyAlignment="1" applyProtection="1">
      <alignment vertical="center"/>
      <protection locked="0"/>
    </xf>
    <xf numFmtId="10" fontId="13" fillId="4" borderId="29" xfId="62" applyNumberFormat="1" applyFont="1" applyFill="1" applyBorder="1" applyAlignment="1" applyProtection="1">
      <alignment vertical="center"/>
      <protection locked="0"/>
    </xf>
    <xf numFmtId="0" fontId="16" fillId="4" borderId="27" xfId="0" applyFont="1" applyFill="1" applyBorder="1" applyAlignment="1" applyProtection="1">
      <alignment horizontal="left" vertical="center" indent="1"/>
      <protection/>
    </xf>
    <xf numFmtId="10" fontId="13" fillId="4" borderId="12" xfId="62" applyNumberFormat="1" applyFont="1" applyFill="1" applyBorder="1" applyAlignment="1" applyProtection="1">
      <alignment vertical="center"/>
      <protection locked="0"/>
    </xf>
    <xf numFmtId="10" fontId="13" fillId="4" borderId="15" xfId="62" applyNumberFormat="1" applyFont="1" applyFill="1" applyBorder="1" applyAlignment="1" applyProtection="1">
      <alignment vertical="center"/>
      <protection locked="0"/>
    </xf>
    <xf numFmtId="169" fontId="13" fillId="0" borderId="0" xfId="0" applyNumberFormat="1" applyFont="1" applyFill="1" applyBorder="1" applyAlignment="1" applyProtection="1">
      <alignment/>
      <protection locked="0"/>
    </xf>
    <xf numFmtId="179" fontId="16" fillId="0" borderId="12" xfId="62" applyNumberFormat="1" applyFont="1" applyFill="1" applyBorder="1" applyAlignment="1" applyProtection="1">
      <alignment horizontal="right" vertical="center" wrapText="1" indent="1"/>
      <protection/>
    </xf>
    <xf numFmtId="3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3" fontId="16" fillId="0" borderId="0" xfId="62" applyNumberFormat="1" applyFont="1" applyFill="1" applyBorder="1" applyAlignment="1" applyProtection="1">
      <alignment horizontal="right" vertical="center" indent="1"/>
      <protection/>
    </xf>
    <xf numFmtId="179" fontId="58" fillId="0" borderId="0" xfId="62" applyNumberFormat="1" applyFont="1" applyFill="1" applyAlignment="1" applyProtection="1">
      <alignment vertical="center"/>
      <protection locked="0"/>
    </xf>
    <xf numFmtId="0" fontId="23" fillId="0" borderId="0" xfId="0" applyFont="1" applyAlignment="1">
      <alignment/>
    </xf>
    <xf numFmtId="38" fontId="16" fillId="35" borderId="0" xfId="0" applyNumberFormat="1" applyFont="1" applyFill="1" applyAlignment="1" applyProtection="1">
      <alignment horizontal="center" vertical="center" wrapText="1"/>
      <protection/>
    </xf>
    <xf numFmtId="204" fontId="16" fillId="35" borderId="0" xfId="0" applyNumberFormat="1" applyFont="1" applyFill="1" applyAlignment="1" applyProtection="1">
      <alignment horizontal="center" vertical="center" wrapText="1"/>
      <protection/>
    </xf>
    <xf numFmtId="0" fontId="16" fillId="37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9" fontId="16" fillId="35" borderId="10" xfId="62" applyNumberFormat="1" applyFont="1" applyFill="1" applyBorder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center" vertical="center" wrapText="1"/>
      <protection/>
    </xf>
    <xf numFmtId="0" fontId="22" fillId="35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22" fillId="39" borderId="0" xfId="0" applyFont="1" applyFill="1" applyAlignment="1">
      <alignment horizontal="center" wrapText="1"/>
    </xf>
    <xf numFmtId="0" fontId="11" fillId="39" borderId="0" xfId="0" applyFont="1" applyFill="1" applyAlignment="1">
      <alignment horizontal="center" wrapText="1"/>
    </xf>
    <xf numFmtId="0" fontId="16" fillId="35" borderId="11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2" fillId="39" borderId="0" xfId="0" applyFont="1" applyFill="1" applyAlignment="1">
      <alignment horizontal="center"/>
    </xf>
    <xf numFmtId="0" fontId="11" fillId="39" borderId="0" xfId="0" applyFont="1" applyFill="1" applyAlignment="1">
      <alignment horizontal="center"/>
    </xf>
    <xf numFmtId="0" fontId="16" fillId="35" borderId="0" xfId="0" applyNumberFormat="1" applyFont="1" applyFill="1" applyAlignment="1" applyProtection="1">
      <alignment horizontal="center" vertical="center"/>
      <protection/>
    </xf>
    <xf numFmtId="0" fontId="22" fillId="39" borderId="12" xfId="0" applyFont="1" applyFill="1" applyBorder="1" applyAlignment="1">
      <alignment horizontal="center" wrapText="1"/>
    </xf>
    <xf numFmtId="0" fontId="11" fillId="39" borderId="12" xfId="0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5" xfId="0" applyFont="1" applyFill="1" applyBorder="1" applyAlignment="1" applyProtection="1">
      <alignment horizontal="center" vertical="center" wrapText="1"/>
      <protection/>
    </xf>
    <xf numFmtId="0" fontId="16" fillId="35" borderId="17" xfId="0" applyFont="1" applyFill="1" applyBorder="1" applyAlignment="1" applyProtection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16" fillId="35" borderId="22" xfId="0" applyFont="1" applyFill="1" applyBorder="1" applyAlignment="1" applyProtection="1">
      <alignment horizontal="center" vertical="center" wrapText="1"/>
      <protection/>
    </xf>
    <xf numFmtId="0" fontId="16" fillId="35" borderId="10" xfId="62" applyNumberFormat="1" applyFont="1" applyFill="1" applyBorder="1" applyAlignment="1" applyProtection="1">
      <alignment horizontal="center" vertical="center"/>
      <protection/>
    </xf>
    <xf numFmtId="0" fontId="16" fillId="35" borderId="22" xfId="62" applyNumberFormat="1" applyFont="1" applyFill="1" applyBorder="1" applyAlignment="1" applyProtection="1">
      <alignment horizontal="center" vertical="center"/>
      <protection/>
    </xf>
    <xf numFmtId="49" fontId="16" fillId="35" borderId="0" xfId="0" applyNumberFormat="1" applyFont="1" applyFill="1" applyAlignment="1" applyProtection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16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39" borderId="0" xfId="0" applyFill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27</xdr:row>
      <xdr:rowOff>66675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9150" y="443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5"/>
  <sheetViews>
    <sheetView zoomScalePageLayoutView="0" workbookViewId="0" topLeftCell="A7">
      <selection activeCell="B25" sqref="B25"/>
    </sheetView>
  </sheetViews>
  <sheetFormatPr defaultColWidth="8.8515625" defaultRowHeight="12.75"/>
  <cols>
    <col min="1" max="1" width="57.421875" style="93" customWidth="1"/>
    <col min="2" max="2" width="18.00390625" style="93" customWidth="1"/>
    <col min="3" max="3" width="16.8515625" style="93" customWidth="1"/>
    <col min="4" max="4" width="16.421875" style="93" customWidth="1"/>
    <col min="5" max="5" width="15.421875" style="93" customWidth="1"/>
    <col min="6" max="16384" width="8.8515625" style="93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5" ht="40.5" customHeight="1">
      <c r="A7" s="180" t="s">
        <v>256</v>
      </c>
      <c r="B7" s="170"/>
      <c r="C7" s="170"/>
      <c r="D7" s="170"/>
      <c r="E7" s="170"/>
    </row>
    <row r="8" spans="1:5" ht="15">
      <c r="A8" s="182"/>
      <c r="B8" s="182"/>
      <c r="C8" s="182"/>
      <c r="D8" s="182"/>
      <c r="E8" s="182"/>
    </row>
    <row r="9" spans="1:5" ht="15">
      <c r="A9" s="183" t="s">
        <v>150</v>
      </c>
      <c r="B9" s="184"/>
      <c r="C9" s="184"/>
      <c r="D9" s="184"/>
      <c r="E9" s="184"/>
    </row>
    <row r="10" spans="1:5" ht="21" customHeight="1">
      <c r="A10" s="183" t="s">
        <v>151</v>
      </c>
      <c r="B10" s="184"/>
      <c r="C10" s="184"/>
      <c r="D10" s="184"/>
      <c r="E10" s="184"/>
    </row>
    <row r="11" spans="1:5" ht="15.75" thickBot="1">
      <c r="A11" s="185"/>
      <c r="B11" s="186"/>
      <c r="C11" s="186"/>
      <c r="D11" s="186"/>
      <c r="E11" s="186"/>
    </row>
    <row r="12" spans="1:5" ht="39.75" customHeight="1" thickTop="1">
      <c r="A12" s="171" t="s">
        <v>1</v>
      </c>
      <c r="B12" s="172">
        <v>2018</v>
      </c>
      <c r="C12" s="172">
        <f>B12+1</f>
        <v>2019</v>
      </c>
      <c r="D12" s="172">
        <f>C12+1</f>
        <v>2020</v>
      </c>
      <c r="E12" s="173">
        <f>D12+1</f>
        <v>2021</v>
      </c>
    </row>
    <row r="13" spans="1:5" ht="18.75" customHeight="1" hidden="1">
      <c r="A13" s="174" t="s">
        <v>152</v>
      </c>
      <c r="B13" s="175"/>
      <c r="C13" s="175">
        <v>0.04</v>
      </c>
      <c r="D13" s="175">
        <v>0.04</v>
      </c>
      <c r="E13" s="175">
        <v>0.04</v>
      </c>
    </row>
    <row r="14" spans="1:5" ht="15">
      <c r="A14" s="181" t="s">
        <v>153</v>
      </c>
      <c r="B14" s="179">
        <v>0.06</v>
      </c>
      <c r="C14" s="179">
        <v>0.045</v>
      </c>
      <c r="D14" s="179">
        <v>0.045</v>
      </c>
      <c r="E14" s="179">
        <v>0.045</v>
      </c>
    </row>
    <row r="15" spans="1:5" ht="15">
      <c r="A15" s="181" t="s">
        <v>154</v>
      </c>
      <c r="B15" s="179">
        <v>0.0251</v>
      </c>
      <c r="C15" s="179">
        <v>0.0259</v>
      </c>
      <c r="D15" s="179">
        <v>0.0254</v>
      </c>
      <c r="E15" s="179">
        <v>0.0256</v>
      </c>
    </row>
    <row r="16" spans="1:5" ht="15">
      <c r="A16" s="176" t="s">
        <v>155</v>
      </c>
      <c r="B16" s="179">
        <v>0.07</v>
      </c>
      <c r="C16" s="179">
        <v>0.075</v>
      </c>
      <c r="D16" s="179">
        <v>0.08</v>
      </c>
      <c r="E16" s="179">
        <v>0.085</v>
      </c>
    </row>
    <row r="17" spans="1:5" ht="15">
      <c r="A17" s="177" t="s">
        <v>156</v>
      </c>
      <c r="B17" s="179">
        <v>0.0853</v>
      </c>
      <c r="C17" s="179">
        <v>0.0853</v>
      </c>
      <c r="D17" s="179">
        <v>0.0853</v>
      </c>
      <c r="E17" s="179">
        <v>0.0853</v>
      </c>
    </row>
    <row r="18" spans="1:5" ht="15">
      <c r="A18" s="177" t="s">
        <v>157</v>
      </c>
      <c r="B18" s="179">
        <v>0.05</v>
      </c>
      <c r="C18" s="179">
        <v>0.05</v>
      </c>
      <c r="D18" s="179">
        <v>0.05</v>
      </c>
      <c r="E18" s="179">
        <v>0.05</v>
      </c>
    </row>
    <row r="19" spans="1:5" ht="15">
      <c r="A19" s="177" t="s">
        <v>158</v>
      </c>
      <c r="B19" s="179">
        <v>0.07</v>
      </c>
      <c r="C19" s="179">
        <v>0.07</v>
      </c>
      <c r="D19" s="179">
        <v>0.07</v>
      </c>
      <c r="E19" s="179">
        <v>0.07</v>
      </c>
    </row>
    <row r="20" spans="1:5" ht="15">
      <c r="A20" s="181" t="s">
        <v>262</v>
      </c>
      <c r="B20" s="179">
        <v>0</v>
      </c>
      <c r="C20" s="179">
        <v>0</v>
      </c>
      <c r="D20" s="179">
        <v>0</v>
      </c>
      <c r="E20" s="179">
        <v>0</v>
      </c>
    </row>
    <row r="21" spans="1:5" ht="15">
      <c r="A21" s="181" t="s">
        <v>263</v>
      </c>
      <c r="B21" s="179">
        <v>0</v>
      </c>
      <c r="C21" s="179">
        <v>0</v>
      </c>
      <c r="D21" s="179">
        <v>0</v>
      </c>
      <c r="E21" s="179">
        <v>0</v>
      </c>
    </row>
    <row r="22" spans="1:5" ht="15">
      <c r="A22" s="178" t="s">
        <v>159</v>
      </c>
      <c r="B22" s="179"/>
      <c r="C22" s="179"/>
      <c r="D22" s="179"/>
      <c r="E22" s="179"/>
    </row>
    <row r="24" spans="1:3" ht="15.75">
      <c r="A24" s="295" t="s">
        <v>177</v>
      </c>
      <c r="B24" s="295"/>
      <c r="C24" s="295"/>
    </row>
    <row r="25" ht="58.5" customHeight="1">
      <c r="A25" s="94"/>
    </row>
  </sheetData>
  <sheetProtection/>
  <mergeCells count="1">
    <mergeCell ref="A24:C24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F37"/>
  <sheetViews>
    <sheetView zoomScale="75" zoomScaleNormal="75" zoomScalePageLayoutView="0" workbookViewId="0" topLeftCell="A1">
      <pane xSplit="1" ySplit="5" topLeftCell="B6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40625" defaultRowHeight="12.75"/>
  <cols>
    <col min="1" max="1" width="47.7109375" style="29" customWidth="1"/>
    <col min="2" max="6" width="18.7109375" style="29" customWidth="1"/>
    <col min="7" max="16384" width="9.140625" style="29" customWidth="1"/>
  </cols>
  <sheetData>
    <row r="1" ht="12.75">
      <c r="A1" s="28" t="s">
        <v>63</v>
      </c>
    </row>
    <row r="2" spans="1:6" ht="12.75">
      <c r="A2" s="30" t="s">
        <v>64</v>
      </c>
      <c r="B2" s="31"/>
      <c r="C2" s="31"/>
      <c r="D2" s="31"/>
      <c r="E2" s="31"/>
      <c r="F2" s="31"/>
    </row>
    <row r="3" ht="12.75">
      <c r="F3" s="32" t="s">
        <v>34</v>
      </c>
    </row>
    <row r="4" spans="1:6" ht="18" customHeight="1">
      <c r="A4" s="34" t="s">
        <v>65</v>
      </c>
      <c r="B4" s="34">
        <v>2001</v>
      </c>
      <c r="C4" s="34">
        <v>2002</v>
      </c>
      <c r="D4" s="34">
        <v>2003</v>
      </c>
      <c r="E4" s="34">
        <v>2004</v>
      </c>
      <c r="F4" s="34">
        <v>2005</v>
      </c>
    </row>
    <row r="5" spans="1:6" ht="24.75" customHeight="1">
      <c r="A5" s="35" t="s">
        <v>66</v>
      </c>
      <c r="B5" s="36">
        <f>+B6+B7+B12</f>
        <v>342720.54000000004</v>
      </c>
      <c r="C5" s="36">
        <f>+C6+C7+C12</f>
        <v>374661.31568824</v>
      </c>
      <c r="D5" s="36">
        <f>+D6+D7+D12</f>
        <v>404142.49911638413</v>
      </c>
      <c r="E5" s="36">
        <f>+E6+E7+E12</f>
        <v>435861.68089906854</v>
      </c>
      <c r="F5" s="36">
        <f>+F6+F7+F12</f>
        <v>470258.6588981298</v>
      </c>
    </row>
    <row r="6" spans="1:6" ht="24.75" customHeight="1">
      <c r="A6" s="37" t="s">
        <v>36</v>
      </c>
      <c r="B6" s="38">
        <f>Tab01!D7</f>
        <v>0</v>
      </c>
      <c r="C6" s="38">
        <f>Tab01!E7</f>
        <v>0</v>
      </c>
      <c r="D6" s="38">
        <f>Tab01!F7</f>
        <v>0</v>
      </c>
      <c r="E6" s="38">
        <f>Tab01!G7</f>
        <v>0</v>
      </c>
      <c r="F6" s="38">
        <f>Tab01!H7</f>
        <v>0</v>
      </c>
    </row>
    <row r="7" spans="1:6" ht="24.75" customHeight="1">
      <c r="A7" s="39" t="s">
        <v>37</v>
      </c>
      <c r="B7" s="40">
        <f>Tab01!D26</f>
        <v>104305.71</v>
      </c>
      <c r="C7" s="40">
        <f>Tab01!E26</f>
        <v>113339.21032026</v>
      </c>
      <c r="D7" s="40">
        <f>Tab01!F26</f>
        <v>121507.05718159468</v>
      </c>
      <c r="E7" s="40">
        <f>Tab01!G26</f>
        <v>130200.03657353752</v>
      </c>
      <c r="F7" s="40">
        <f>Tab01!H26</f>
        <v>139542.14959776198</v>
      </c>
    </row>
    <row r="8" spans="1:6" ht="24.75" customHeight="1">
      <c r="A8" s="41" t="s">
        <v>67</v>
      </c>
      <c r="B8" s="42" t="e">
        <f>B7-B9-B10-B11</f>
        <v>#REF!</v>
      </c>
      <c r="C8" s="42" t="e">
        <f>C7-C9-C10-C11</f>
        <v>#REF!</v>
      </c>
      <c r="D8" s="42" t="e">
        <f>D7-D9-D10-D11</f>
        <v>#REF!</v>
      </c>
      <c r="E8" s="42" t="e">
        <f>E7-E9-E10-E11</f>
        <v>#REF!</v>
      </c>
      <c r="F8" s="42" t="e">
        <f>F7-F9-F10-F11</f>
        <v>#REF!</v>
      </c>
    </row>
    <row r="9" spans="1:6" ht="24.75" customHeight="1">
      <c r="A9" s="41" t="s">
        <v>68</v>
      </c>
      <c r="B9" s="33"/>
      <c r="C9" s="33"/>
      <c r="D9" s="33"/>
      <c r="E9" s="33"/>
      <c r="F9" s="33"/>
    </row>
    <row r="10" spans="1:6" ht="24.75" customHeight="1">
      <c r="A10" s="41" t="s">
        <v>69</v>
      </c>
      <c r="B10" s="42" t="e">
        <f>Tab01!D43+Tab01!#REF!</f>
        <v>#REF!</v>
      </c>
      <c r="C10" s="42" t="e">
        <f>Tab01!E43+Tab01!#REF!</f>
        <v>#REF!</v>
      </c>
      <c r="D10" s="42" t="e">
        <f>Tab01!F43+Tab01!#REF!</f>
        <v>#REF!</v>
      </c>
      <c r="E10" s="42" t="e">
        <f>Tab01!G43+Tab01!#REF!</f>
        <v>#REF!</v>
      </c>
      <c r="F10" s="42" t="e">
        <f>Tab01!H43+Tab01!#REF!</f>
        <v>#REF!</v>
      </c>
    </row>
    <row r="11" spans="1:6" ht="24.75" customHeight="1">
      <c r="A11" s="41" t="s">
        <v>70</v>
      </c>
      <c r="B11" s="42">
        <f>Tab01!D49</f>
        <v>313510</v>
      </c>
      <c r="C11" s="42">
        <f>Tab01!E49</f>
        <v>355583.0420000001</v>
      </c>
      <c r="D11" s="42">
        <f>Tab01!F49</f>
        <v>397595.1784123001</v>
      </c>
      <c r="E11" s="42">
        <f>Tab01!G49</f>
        <v>444571.0487417134</v>
      </c>
      <c r="F11" s="42">
        <f>Tab01!H49</f>
        <v>497097.11815054686</v>
      </c>
    </row>
    <row r="12" spans="1:6" ht="24.75" customHeight="1">
      <c r="A12" s="39" t="s">
        <v>92</v>
      </c>
      <c r="B12" s="40">
        <f>Tab01!D19+Tab01!D20+Tab01!D23+Tab01!D24+Tab01!D25+Tab01!D51</f>
        <v>238414.83000000002</v>
      </c>
      <c r="C12" s="40">
        <f>Tab01!E19+Tab01!E20+Tab01!E23+Tab01!E24+Tab01!E25+Tab01!E51</f>
        <v>261322.10536798</v>
      </c>
      <c r="D12" s="40">
        <f>Tab01!F19+Tab01!F20+Tab01!F23+Tab01!F24+Tab01!F25+Tab01!F51</f>
        <v>282635.4419347895</v>
      </c>
      <c r="E12" s="40">
        <f>Tab01!G19+Tab01!G20+Tab01!G23+Tab01!G24+Tab01!G25+Tab01!G51</f>
        <v>305661.64432553103</v>
      </c>
      <c r="F12" s="40">
        <f>Tab01!H19+Tab01!H20+Tab01!H23+Tab01!H24+Tab01!H25+Tab01!H51</f>
        <v>330716.50930036785</v>
      </c>
    </row>
    <row r="13" spans="1:6" ht="24.75" customHeight="1">
      <c r="A13" s="43" t="s">
        <v>71</v>
      </c>
      <c r="B13" s="44" t="e">
        <f>+B14+B20+B23+B28+B32</f>
        <v>#REF!</v>
      </c>
      <c r="C13" s="44" t="e">
        <f>+C14+C20+C23+C28+C32</f>
        <v>#REF!</v>
      </c>
      <c r="D13" s="44" t="e">
        <f>+D14+D20+D23+D28+D32</f>
        <v>#REF!</v>
      </c>
      <c r="E13" s="44" t="e">
        <f>+E14+E20+E23+E28+E32</f>
        <v>#REF!</v>
      </c>
      <c r="F13" s="44" t="e">
        <f>+F14+F20+F23+F28+F32</f>
        <v>#REF!</v>
      </c>
    </row>
    <row r="14" spans="1:6" ht="24.75" customHeight="1">
      <c r="A14" s="39" t="s">
        <v>72</v>
      </c>
      <c r="B14" s="40">
        <f>+B15+B18+B19</f>
        <v>0</v>
      </c>
      <c r="C14" s="40">
        <f>+C15+C18+C19</f>
        <v>0</v>
      </c>
      <c r="D14" s="40">
        <f>+D15+D18+D19</f>
        <v>0</v>
      </c>
      <c r="E14" s="40">
        <f>+E15+E18+E19</f>
        <v>0</v>
      </c>
      <c r="F14" s="40">
        <f>+F15+F18+F19</f>
        <v>0</v>
      </c>
    </row>
    <row r="15" spans="1:6" ht="24.75" customHeight="1">
      <c r="A15" s="41" t="s">
        <v>73</v>
      </c>
      <c r="B15" s="42">
        <f>SUM(B16:B17)</f>
        <v>0</v>
      </c>
      <c r="C15" s="42">
        <f>SUM(C16:C17)</f>
        <v>0</v>
      </c>
      <c r="D15" s="42">
        <f>SUM(D16:D17)</f>
        <v>0</v>
      </c>
      <c r="E15" s="42">
        <f>SUM(E16:E17)</f>
        <v>0</v>
      </c>
      <c r="F15" s="42">
        <f>SUM(F16:F17)</f>
        <v>0</v>
      </c>
    </row>
    <row r="16" spans="1:6" ht="24.75" customHeight="1">
      <c r="A16" s="45" t="s">
        <v>74</v>
      </c>
      <c r="B16" s="33"/>
      <c r="C16" s="33"/>
      <c r="D16" s="33"/>
      <c r="E16" s="33"/>
      <c r="F16" s="33"/>
    </row>
    <row r="17" spans="1:6" ht="24.75" customHeight="1">
      <c r="A17" s="45" t="s">
        <v>75</v>
      </c>
      <c r="B17" s="33"/>
      <c r="C17" s="33"/>
      <c r="D17" s="33"/>
      <c r="E17" s="33"/>
      <c r="F17" s="33"/>
    </row>
    <row r="18" spans="1:6" ht="24.75" customHeight="1">
      <c r="A18" s="41" t="s">
        <v>68</v>
      </c>
      <c r="B18" s="42">
        <f>B9</f>
        <v>0</v>
      </c>
      <c r="C18" s="42">
        <f>C9</f>
        <v>0</v>
      </c>
      <c r="D18" s="42">
        <f>D9</f>
        <v>0</v>
      </c>
      <c r="E18" s="42">
        <f>E9</f>
        <v>0</v>
      </c>
      <c r="F18" s="42">
        <f>F9</f>
        <v>0</v>
      </c>
    </row>
    <row r="19" spans="1:6" ht="24.75" customHeight="1">
      <c r="A19" s="41" t="s">
        <v>76</v>
      </c>
      <c r="B19" s="33"/>
      <c r="C19" s="33"/>
      <c r="D19" s="33"/>
      <c r="E19" s="33"/>
      <c r="F19" s="33"/>
    </row>
    <row r="20" spans="1:6" ht="24.75" customHeight="1">
      <c r="A20" s="39" t="s">
        <v>77</v>
      </c>
      <c r="B20" s="40">
        <f>SUM(B21:B22)</f>
        <v>0</v>
      </c>
      <c r="C20" s="40">
        <f>SUM(C21:C22)</f>
        <v>0</v>
      </c>
      <c r="D20" s="40">
        <f>SUM(D21:D22)</f>
        <v>0</v>
      </c>
      <c r="E20" s="40">
        <f>SUM(E21:E22)</f>
        <v>0</v>
      </c>
      <c r="F20" s="40">
        <f>SUM(F21:F22)</f>
        <v>0</v>
      </c>
    </row>
    <row r="21" spans="1:6" ht="24.75" customHeight="1">
      <c r="A21" s="41" t="s">
        <v>74</v>
      </c>
      <c r="B21" s="33"/>
      <c r="C21" s="33"/>
      <c r="D21" s="33"/>
      <c r="E21" s="33"/>
      <c r="F21" s="33"/>
    </row>
    <row r="22" spans="1:6" ht="24.75" customHeight="1">
      <c r="A22" s="41" t="s">
        <v>75</v>
      </c>
      <c r="B22" s="33"/>
      <c r="C22" s="33"/>
      <c r="D22" s="33"/>
      <c r="E22" s="33"/>
      <c r="F22" s="33"/>
    </row>
    <row r="23" spans="1:6" ht="24.75" customHeight="1">
      <c r="A23" s="39" t="s">
        <v>78</v>
      </c>
      <c r="B23" s="40" t="e">
        <f>+B24+B27</f>
        <v>#REF!</v>
      </c>
      <c r="C23" s="40" t="e">
        <f>+C24+C27</f>
        <v>#REF!</v>
      </c>
      <c r="D23" s="40" t="e">
        <f>+D24+D27</f>
        <v>#REF!</v>
      </c>
      <c r="E23" s="40" t="e">
        <f>+E24+E27</f>
        <v>#REF!</v>
      </c>
      <c r="F23" s="40" t="e">
        <f>+F24+F27</f>
        <v>#REF!</v>
      </c>
    </row>
    <row r="24" spans="1:6" ht="24.75" customHeight="1">
      <c r="A24" s="41" t="s">
        <v>79</v>
      </c>
      <c r="B24" s="42" t="e">
        <f>Tab07B!B30</f>
        <v>#REF!</v>
      </c>
      <c r="C24" s="42" t="e">
        <f>Tab07B!C30</f>
        <v>#REF!</v>
      </c>
      <c r="D24" s="42" t="e">
        <f>Tab07B!D30</f>
        <v>#REF!</v>
      </c>
      <c r="E24" s="42" t="e">
        <f>Tab07B!E30</f>
        <v>#REF!</v>
      </c>
      <c r="F24" s="42" t="e">
        <f>Tab07B!F30</f>
        <v>#REF!</v>
      </c>
    </row>
    <row r="25" spans="1:6" ht="24.75" customHeight="1">
      <c r="A25" s="45" t="s">
        <v>80</v>
      </c>
      <c r="B25" s="42" t="e">
        <f>Tab07B!B31</f>
        <v>#REF!</v>
      </c>
      <c r="C25" s="42" t="e">
        <f>Tab07B!C31</f>
        <v>#REF!</v>
      </c>
      <c r="D25" s="42" t="e">
        <f>Tab07B!D31</f>
        <v>#REF!</v>
      </c>
      <c r="E25" s="42" t="e">
        <f>Tab07B!E31</f>
        <v>#REF!</v>
      </c>
      <c r="F25" s="42" t="e">
        <f>Tab07B!F31</f>
        <v>#REF!</v>
      </c>
    </row>
    <row r="26" spans="1:6" ht="24.75" customHeight="1">
      <c r="A26" s="45" t="s">
        <v>75</v>
      </c>
      <c r="B26" s="42" t="e">
        <f>B24-B25</f>
        <v>#REF!</v>
      </c>
      <c r="C26" s="42" t="e">
        <f>C24-C25</f>
        <v>#REF!</v>
      </c>
      <c r="D26" s="42" t="e">
        <f>D24-D25</f>
        <v>#REF!</v>
      </c>
      <c r="E26" s="42" t="e">
        <f>E24-E25</f>
        <v>#REF!</v>
      </c>
      <c r="F26" s="42" t="e">
        <f>F24-F25</f>
        <v>#REF!</v>
      </c>
    </row>
    <row r="27" spans="1:6" ht="24.75" customHeight="1">
      <c r="A27" s="41" t="s">
        <v>81</v>
      </c>
      <c r="B27" s="33"/>
      <c r="C27" s="33"/>
      <c r="D27" s="33"/>
      <c r="E27" s="33"/>
      <c r="F27" s="33"/>
    </row>
    <row r="28" spans="1:6" ht="24.75" customHeight="1">
      <c r="A28" s="39" t="s">
        <v>82</v>
      </c>
      <c r="B28" s="40">
        <f>SUM(B29:B31)</f>
        <v>0</v>
      </c>
      <c r="C28" s="40">
        <f>SUM(C29:C31)</f>
        <v>0</v>
      </c>
      <c r="D28" s="40">
        <f>SUM(D29:D31)</f>
        <v>0</v>
      </c>
      <c r="E28" s="40">
        <f>SUM(E29:E31)</f>
        <v>0</v>
      </c>
      <c r="F28" s="40">
        <f>SUM(F29:F31)</f>
        <v>0</v>
      </c>
    </row>
    <row r="29" spans="1:6" ht="24.75" customHeight="1">
      <c r="A29" s="41" t="s">
        <v>83</v>
      </c>
      <c r="B29" s="33"/>
      <c r="C29" s="33"/>
      <c r="D29" s="33"/>
      <c r="E29" s="33"/>
      <c r="F29" s="33"/>
    </row>
    <row r="30" spans="1:6" ht="24.75" customHeight="1">
      <c r="A30" s="41" t="s">
        <v>84</v>
      </c>
      <c r="B30" s="33"/>
      <c r="C30" s="33"/>
      <c r="D30" s="33"/>
      <c r="E30" s="33"/>
      <c r="F30" s="33"/>
    </row>
    <row r="31" spans="1:6" ht="24.75" customHeight="1">
      <c r="A31" s="41" t="s">
        <v>85</v>
      </c>
      <c r="B31" s="33"/>
      <c r="C31" s="33"/>
      <c r="D31" s="33"/>
      <c r="E31" s="33"/>
      <c r="F31" s="33"/>
    </row>
    <row r="32" spans="1:6" ht="24.75" customHeight="1">
      <c r="A32" s="39" t="s">
        <v>86</v>
      </c>
      <c r="B32" s="40">
        <f>SUM(B33:B34)</f>
        <v>0</v>
      </c>
      <c r="C32" s="40">
        <f>SUM(C33:C34)</f>
        <v>0</v>
      </c>
      <c r="D32" s="40">
        <f>SUM(D33:D34)</f>
        <v>0</v>
      </c>
      <c r="E32" s="40">
        <f>SUM(E33:E34)</f>
        <v>0</v>
      </c>
      <c r="F32" s="40">
        <f>SUM(F33:F34)</f>
        <v>0</v>
      </c>
    </row>
    <row r="33" spans="1:6" ht="24.75" customHeight="1">
      <c r="A33" s="41" t="s">
        <v>87</v>
      </c>
      <c r="B33" s="33"/>
      <c r="C33" s="33"/>
      <c r="D33" s="33"/>
      <c r="E33" s="33"/>
      <c r="F33" s="33"/>
    </row>
    <row r="34" spans="1:6" ht="24.75" customHeight="1">
      <c r="A34" s="41" t="s">
        <v>88</v>
      </c>
      <c r="B34" s="33"/>
      <c r="C34" s="33"/>
      <c r="D34" s="33"/>
      <c r="E34" s="33"/>
      <c r="F34" s="33"/>
    </row>
    <row r="35" spans="1:6" ht="24.75" customHeight="1">
      <c r="A35" s="39" t="s">
        <v>89</v>
      </c>
      <c r="B35" s="40" t="e">
        <f>B5-B13</f>
        <v>#REF!</v>
      </c>
      <c r="C35" s="40" t="e">
        <f>C5-C13</f>
        <v>#REF!</v>
      </c>
      <c r="D35" s="40" t="e">
        <f>D5-D13</f>
        <v>#REF!</v>
      </c>
      <c r="E35" s="40" t="e">
        <f>E5-E13</f>
        <v>#REF!</v>
      </c>
      <c r="F35" s="40" t="e">
        <f>F5-F13</f>
        <v>#REF!</v>
      </c>
    </row>
    <row r="36" spans="1:6" ht="24.75" customHeight="1">
      <c r="A36" s="46" t="s">
        <v>90</v>
      </c>
      <c r="B36" s="47"/>
      <c r="C36" s="47" t="e">
        <f>#REF!+#REF!+#REF!</f>
        <v>#REF!</v>
      </c>
      <c r="D36" s="47" t="e">
        <f>#REF!+#REF!+#REF!</f>
        <v>#REF!</v>
      </c>
      <c r="E36" s="47" t="e">
        <f>#REF!+#REF!+#REF!</f>
        <v>#REF!</v>
      </c>
      <c r="F36" s="47" t="e">
        <f>#REF!+#REF!+#REF!</f>
        <v>#REF!</v>
      </c>
    </row>
    <row r="37" spans="1:6" ht="24.75" customHeight="1">
      <c r="A37" s="48" t="s">
        <v>91</v>
      </c>
      <c r="B37" s="49" t="e">
        <f>B35-B36</f>
        <v>#REF!</v>
      </c>
      <c r="C37" s="49" t="e">
        <f>C35-C36</f>
        <v>#REF!</v>
      </c>
      <c r="D37" s="49" t="e">
        <f>D35-D36</f>
        <v>#REF!</v>
      </c>
      <c r="E37" s="49" t="e">
        <f>E35-E36</f>
        <v>#REF!</v>
      </c>
      <c r="F37" s="49" t="e">
        <f>F35-F36</f>
        <v>#REF!</v>
      </c>
    </row>
  </sheetData>
  <sheetProtection sheet="1" objects="1" scenarios="1"/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U105"/>
  <sheetViews>
    <sheetView showGridLines="0" zoomScale="90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27" sqref="C27"/>
    </sheetView>
  </sheetViews>
  <sheetFormatPr defaultColWidth="9.140625" defaultRowHeight="24" customHeight="1"/>
  <cols>
    <col min="1" max="1" width="61.421875" style="51" customWidth="1"/>
    <col min="2" max="2" width="14.8515625" style="51" customWidth="1"/>
    <col min="3" max="4" width="15.8515625" style="51" customWidth="1"/>
    <col min="5" max="5" width="14.8515625" style="51" customWidth="1"/>
    <col min="6" max="6" width="14.421875" style="51" customWidth="1"/>
    <col min="7" max="7" width="14.8515625" style="51" customWidth="1"/>
    <col min="8" max="8" width="20.421875" style="51" customWidth="1"/>
    <col min="9" max="9" width="10.7109375" style="51" customWidth="1"/>
    <col min="10" max="16384" width="9.140625" style="51" customWidth="1"/>
  </cols>
  <sheetData>
    <row r="1" spans="1:8" s="50" customFormat="1" ht="12.75" customHeight="1">
      <c r="A1" s="296" t="str">
        <f>Parâmetros!A7</f>
        <v>MUNICÍPIO DE:  </v>
      </c>
      <c r="B1" s="296"/>
      <c r="C1" s="296"/>
      <c r="D1" s="296"/>
      <c r="E1" s="296"/>
      <c r="F1" s="296"/>
      <c r="G1" s="296"/>
      <c r="H1" s="296"/>
    </row>
    <row r="2" spans="1:8" s="50" customFormat="1" ht="12.75" customHeight="1">
      <c r="A2" s="296" t="s">
        <v>179</v>
      </c>
      <c r="B2" s="296"/>
      <c r="C2" s="296"/>
      <c r="D2" s="296"/>
      <c r="E2" s="296"/>
      <c r="F2" s="296"/>
      <c r="G2" s="296"/>
      <c r="H2" s="296"/>
    </row>
    <row r="3" spans="1:8" ht="12.75" customHeight="1">
      <c r="A3" s="297" t="s">
        <v>257</v>
      </c>
      <c r="B3" s="297"/>
      <c r="C3" s="297"/>
      <c r="D3" s="297"/>
      <c r="E3" s="297"/>
      <c r="F3" s="297"/>
      <c r="G3" s="297"/>
      <c r="H3" s="297"/>
    </row>
    <row r="4" spans="1:8" ht="12.75" customHeight="1">
      <c r="A4" s="187"/>
      <c r="B4" s="187"/>
      <c r="C4" s="188"/>
      <c r="D4" s="188"/>
      <c r="E4" s="188"/>
      <c r="F4" s="188"/>
      <c r="G4" s="188"/>
      <c r="H4" s="189"/>
    </row>
    <row r="5" spans="1:8" ht="12.75" customHeight="1">
      <c r="A5" s="190" t="s">
        <v>33</v>
      </c>
      <c r="B5" s="131">
        <v>2015</v>
      </c>
      <c r="C5" s="131">
        <f aca="true" t="shared" si="0" ref="C5:H5">+B5+1</f>
        <v>2016</v>
      </c>
      <c r="D5" s="131">
        <f t="shared" si="0"/>
        <v>2017</v>
      </c>
      <c r="E5" s="131">
        <f t="shared" si="0"/>
        <v>2018</v>
      </c>
      <c r="F5" s="131">
        <f t="shared" si="0"/>
        <v>2019</v>
      </c>
      <c r="G5" s="131">
        <f t="shared" si="0"/>
        <v>2020</v>
      </c>
      <c r="H5" s="131">
        <f t="shared" si="0"/>
        <v>2021</v>
      </c>
    </row>
    <row r="6" spans="1:9" ht="12.75" customHeight="1">
      <c r="A6" s="129" t="s">
        <v>182</v>
      </c>
      <c r="B6" s="101">
        <f aca="true" t="shared" si="1" ref="B6:H6">+B8+B84+B98</f>
        <v>17691844.524738256</v>
      </c>
      <c r="C6" s="101">
        <f t="shared" si="1"/>
        <v>18606153.575082913</v>
      </c>
      <c r="D6" s="101">
        <f t="shared" si="1"/>
        <v>19466387.34</v>
      </c>
      <c r="E6" s="101">
        <f t="shared" si="1"/>
        <v>22016633.79122212</v>
      </c>
      <c r="F6" s="101">
        <f t="shared" si="1"/>
        <v>24551082.532739975</v>
      </c>
      <c r="G6" s="101">
        <f t="shared" si="1"/>
        <v>27379674.815040577</v>
      </c>
      <c r="H6" s="101">
        <f t="shared" si="1"/>
        <v>30536845.856615156</v>
      </c>
      <c r="I6" s="52"/>
    </row>
    <row r="7" spans="1:9" s="54" customFormat="1" ht="12.75" customHeight="1">
      <c r="A7" s="129"/>
      <c r="B7" s="101"/>
      <c r="C7" s="101"/>
      <c r="D7" s="101"/>
      <c r="E7" s="101"/>
      <c r="F7" s="101"/>
      <c r="G7" s="101"/>
      <c r="H7" s="101"/>
      <c r="I7" s="53"/>
    </row>
    <row r="8" spans="1:9" ht="12.75" customHeight="1">
      <c r="A8" s="131" t="s">
        <v>141</v>
      </c>
      <c r="B8" s="101">
        <f aca="true" t="shared" si="2" ref="B8:H8">+B9+B20+B25+B36+B37+B38+B41+B75+B81</f>
        <v>17375630.324738257</v>
      </c>
      <c r="C8" s="101">
        <f>+C9+C20+C25+C36+C37+C38+C41+C75+C81</f>
        <v>18594105.245082915</v>
      </c>
      <c r="D8" s="101">
        <f t="shared" si="2"/>
        <v>19455687.34</v>
      </c>
      <c r="E8" s="101">
        <f t="shared" si="2"/>
        <v>22005291.79122212</v>
      </c>
      <c r="F8" s="101">
        <f t="shared" si="2"/>
        <v>24539230.142739974</v>
      </c>
      <c r="G8" s="101">
        <f t="shared" si="2"/>
        <v>27367289.067490578</v>
      </c>
      <c r="H8" s="101">
        <f t="shared" si="2"/>
        <v>30523902.750425406</v>
      </c>
      <c r="I8" s="89"/>
    </row>
    <row r="9" spans="1:9" s="50" customFormat="1" ht="12.75" customHeight="1">
      <c r="A9" s="121" t="s">
        <v>44</v>
      </c>
      <c r="B9" s="101">
        <f>B10+B18+B19</f>
        <v>995747.3300000001</v>
      </c>
      <c r="C9" s="101">
        <f aca="true" t="shared" si="3" ref="C9:H9">C10+C18+C19</f>
        <v>715289.63</v>
      </c>
      <c r="D9" s="101">
        <f t="shared" si="3"/>
        <v>810273.76</v>
      </c>
      <c r="E9" s="101">
        <f t="shared" si="3"/>
        <v>901834.6948800002</v>
      </c>
      <c r="F9" s="101">
        <f t="shared" si="3"/>
        <v>989538.11895708</v>
      </c>
      <c r="G9" s="101">
        <f t="shared" si="3"/>
        <v>1085770.7010256562</v>
      </c>
      <c r="H9" s="101">
        <f t="shared" si="3"/>
        <v>1191361.9017004012</v>
      </c>
      <c r="I9" s="55"/>
    </row>
    <row r="10" spans="1:9" ht="12.75" customHeight="1">
      <c r="A10" s="158" t="s">
        <v>45</v>
      </c>
      <c r="B10" s="102">
        <f aca="true" t="shared" si="4" ref="B10:H10">B11+B12+B16+B17</f>
        <v>899424.52</v>
      </c>
      <c r="C10" s="102">
        <f t="shared" si="4"/>
        <v>625992.26</v>
      </c>
      <c r="D10" s="102">
        <f t="shared" si="4"/>
        <v>728833.28</v>
      </c>
      <c r="E10" s="102">
        <f t="shared" si="4"/>
        <v>811191.4406400002</v>
      </c>
      <c r="F10" s="102">
        <f t="shared" si="4"/>
        <v>890079.80824224</v>
      </c>
      <c r="G10" s="102">
        <f t="shared" si="4"/>
        <v>976640.0695937979</v>
      </c>
      <c r="H10" s="102">
        <f t="shared" si="4"/>
        <v>1071618.3163617947</v>
      </c>
      <c r="I10" s="52"/>
    </row>
    <row r="11" spans="1:9" ht="12.75" customHeight="1">
      <c r="A11" s="191" t="s">
        <v>9</v>
      </c>
      <c r="B11" s="75">
        <v>54611.3</v>
      </c>
      <c r="C11" s="75">
        <v>62542.95</v>
      </c>
      <c r="D11" s="75">
        <v>69616.66</v>
      </c>
      <c r="E11" s="102">
        <f>D11*(1+Parâmetros!B14)*(1+Parâmetros!B18)</f>
        <v>77483.34258000001</v>
      </c>
      <c r="F11" s="102">
        <f>E11*(1+Parâmetros!C14)*(1+Parâmetros!C18)</f>
        <v>85018.59764590501</v>
      </c>
      <c r="G11" s="102">
        <f>F11*(1+Parâmetros!D14)*(1+Parâmetros!D18)</f>
        <v>93286.65626696928</v>
      </c>
      <c r="H11" s="102">
        <f>G11*(1+Parâmetros!E14)*(1+Parâmetros!E18)</f>
        <v>102358.78358893204</v>
      </c>
      <c r="I11" s="52"/>
    </row>
    <row r="12" spans="1:9" s="58" customFormat="1" ht="12.75" customHeight="1">
      <c r="A12" s="191" t="s">
        <v>172</v>
      </c>
      <c r="B12" s="224">
        <f>B13+B14+B15</f>
        <v>222619.81</v>
      </c>
      <c r="C12" s="224">
        <f>C13+C14+C15</f>
        <v>240508.57</v>
      </c>
      <c r="D12" s="224">
        <f>D13+D14+D15</f>
        <v>255474.21</v>
      </c>
      <c r="E12" s="102">
        <f>D12*(1+Parâmetros!B14)*(1+Parâmetros!B18)</f>
        <v>284342.79573</v>
      </c>
      <c r="F12" s="102">
        <f>E12*(1+Parâmetros!C14)*(1+Parâmetros!C18)</f>
        <v>311995.1326147425</v>
      </c>
      <c r="G12" s="102">
        <f>F12*(1+Parâmetros!D14)*(1+Parâmetros!D18)</f>
        <v>342336.6592615262</v>
      </c>
      <c r="H12" s="102">
        <f>G12*(1+Parâmetros!E14)*(1+Parâmetros!E18)</f>
        <v>375628.89937470964</v>
      </c>
      <c r="I12" s="57"/>
    </row>
    <row r="13" spans="1:9" s="58" customFormat="1" ht="12.75" customHeight="1">
      <c r="A13" s="191" t="s">
        <v>201</v>
      </c>
      <c r="B13" s="75">
        <v>126376.38</v>
      </c>
      <c r="C13" s="75">
        <v>146540</v>
      </c>
      <c r="D13" s="75">
        <v>159220.96</v>
      </c>
      <c r="E13" s="102">
        <f>D13*(1+Parâmetros!B14)*(1+Parâmetros!B18)</f>
        <v>177212.92848</v>
      </c>
      <c r="F13" s="102">
        <f>E13*(1+Parâmetros!C14)*(1+Parâmetros!C18)</f>
        <v>194446.88577468</v>
      </c>
      <c r="G13" s="102">
        <f>F13*(1+Parâmetros!D14)*(1+Parâmetros!D18)</f>
        <v>213356.84541626764</v>
      </c>
      <c r="H13" s="102">
        <f>G13*(1+Parâmetros!E14)*(1+Parâmetros!E18)</f>
        <v>234105.79863299965</v>
      </c>
      <c r="I13" s="57"/>
    </row>
    <row r="14" spans="1:9" s="58" customFormat="1" ht="12.75" customHeight="1">
      <c r="A14" s="191" t="s">
        <v>202</v>
      </c>
      <c r="B14" s="75"/>
      <c r="C14" s="75"/>
      <c r="D14" s="75">
        <v>0</v>
      </c>
      <c r="E14" s="102">
        <f>D14*(1+Parâmetros!B14)*(1+Parâmetros!B18)</f>
        <v>0</v>
      </c>
      <c r="F14" s="102">
        <f>E14*(1+Parâmetros!C14)*(1+Parâmetros!C18)</f>
        <v>0</v>
      </c>
      <c r="G14" s="102">
        <f>F14*(1+Parâmetros!D14)*(1+Parâmetros!D18)</f>
        <v>0</v>
      </c>
      <c r="H14" s="102">
        <f>G14*(1+Parâmetros!E14)*(1+Parâmetros!E18)</f>
        <v>0</v>
      </c>
      <c r="I14" s="57"/>
    </row>
    <row r="15" spans="1:9" s="58" customFormat="1" ht="12.75" customHeight="1">
      <c r="A15" s="191" t="s">
        <v>203</v>
      </c>
      <c r="B15" s="75">
        <v>96243.43</v>
      </c>
      <c r="C15" s="75">
        <v>93968.57</v>
      </c>
      <c r="D15" s="75">
        <v>96253.25</v>
      </c>
      <c r="E15" s="102">
        <f>D15*(1+Parâmetros!B14)*(1+Parâmetros!B18)</f>
        <v>107129.86725000001</v>
      </c>
      <c r="F15" s="102">
        <f>E15*(1+Parâmetros!C14)*(1+Parâmetros!C18)</f>
        <v>117548.24684006251</v>
      </c>
      <c r="G15" s="102">
        <f>F15*(1+Parâmetros!D14)*(1+Parâmetros!D18)</f>
        <v>128979.81384525858</v>
      </c>
      <c r="H15" s="102">
        <f>G15*(1+Parâmetros!E14)*(1+Parâmetros!E18)</f>
        <v>141523.10074171</v>
      </c>
      <c r="I15" s="57"/>
    </row>
    <row r="16" spans="1:9" ht="12.75" customHeight="1">
      <c r="A16" s="191" t="s">
        <v>10</v>
      </c>
      <c r="B16" s="75">
        <v>424527</v>
      </c>
      <c r="C16" s="75">
        <v>230558.48</v>
      </c>
      <c r="D16" s="75">
        <v>151834.57</v>
      </c>
      <c r="E16" s="102">
        <f>D16*(1+Parâmetros!B14)*(1+Parâmetros!B18)</f>
        <v>168991.87641000003</v>
      </c>
      <c r="F16" s="102">
        <f>E16*(1+Parâmetros!C14)*(1+Parâmetros!C18)</f>
        <v>185426.33639087252</v>
      </c>
      <c r="G16" s="102">
        <f>F16*(1+Parâmetros!D14)*(1+Parâmetros!D18)</f>
        <v>203459.04760488486</v>
      </c>
      <c r="H16" s="102">
        <f>G16*(1+Parâmetros!E14)*(1+Parâmetros!E18)</f>
        <v>223245.43998445992</v>
      </c>
      <c r="I16" s="52"/>
    </row>
    <row r="17" spans="1:9" ht="12.75" customHeight="1">
      <c r="A17" s="191" t="s">
        <v>11</v>
      </c>
      <c r="B17" s="75">
        <v>197666.41</v>
      </c>
      <c r="C17" s="75">
        <v>92382.26</v>
      </c>
      <c r="D17" s="75">
        <v>251907.84</v>
      </c>
      <c r="E17" s="102">
        <f>D17*(1+Parâmetros!B14)*(1+Parâmetros!B18)</f>
        <v>280373.42592</v>
      </c>
      <c r="F17" s="102">
        <f>E17*(1+Parâmetros!C14)*(1+Parâmetros!C18)</f>
        <v>307639.74159072</v>
      </c>
      <c r="G17" s="102">
        <f>F17*(1+Parâmetros!D14)*(1+Parâmetros!D18)</f>
        <v>337557.70646041754</v>
      </c>
      <c r="H17" s="102">
        <f>G17*(1+Parâmetros!E14)*(1+Parâmetros!E18)</f>
        <v>370385.19341369317</v>
      </c>
      <c r="I17" s="52"/>
    </row>
    <row r="18" spans="1:9" ht="12.75" customHeight="1">
      <c r="A18" s="158" t="s">
        <v>46</v>
      </c>
      <c r="B18" s="75">
        <v>96322.81</v>
      </c>
      <c r="C18" s="75">
        <v>89297.37</v>
      </c>
      <c r="D18" s="75">
        <v>81440.48</v>
      </c>
      <c r="E18" s="102">
        <f>D18*(1+Parâmetros!B14)*(1+Parâmetros!B18)</f>
        <v>90643.25424000001</v>
      </c>
      <c r="F18" s="102">
        <f>E18*(1+Parâmetros!C14)*(1+Parâmetros!C18)</f>
        <v>99458.31071484</v>
      </c>
      <c r="G18" s="102">
        <f>F18*(1+Parâmetros!D14)*(1+Parâmetros!D18)</f>
        <v>109130.63143185819</v>
      </c>
      <c r="H18" s="102">
        <f>G18*(1+Parâmetros!E14)*(1+Parâmetros!E18)</f>
        <v>119743.5853386064</v>
      </c>
      <c r="I18" s="52"/>
    </row>
    <row r="19" spans="1:9" ht="12.75" customHeight="1">
      <c r="A19" s="158" t="s">
        <v>108</v>
      </c>
      <c r="B19" s="75"/>
      <c r="C19" s="75"/>
      <c r="D19" s="75">
        <v>0</v>
      </c>
      <c r="E19" s="102">
        <f>D19*(1+Parâmetros!B14)*(1+Parâmetros!B18)</f>
        <v>0</v>
      </c>
      <c r="F19" s="102">
        <f>E19*(1+Parâmetros!C14)*(1+Parâmetros!C18)</f>
        <v>0</v>
      </c>
      <c r="G19" s="102">
        <f>F19*(1+Parâmetros!D14)*(1+Parâmetros!D18)</f>
        <v>0</v>
      </c>
      <c r="H19" s="102">
        <f>G19*(1+Parâmetros!E14)*(1+Parâmetros!E18)</f>
        <v>0</v>
      </c>
      <c r="I19" s="52"/>
    </row>
    <row r="20" spans="1:9" s="50" customFormat="1" ht="12.75" customHeight="1">
      <c r="A20" s="121" t="s">
        <v>47</v>
      </c>
      <c r="B20" s="101">
        <f>SUM(B21:B24)</f>
        <v>34397.73</v>
      </c>
      <c r="C20" s="101">
        <f aca="true" t="shared" si="5" ref="C20:H20">SUM(C21:C24)</f>
        <v>46453.77</v>
      </c>
      <c r="D20" s="101">
        <f t="shared" si="5"/>
        <v>43321.31</v>
      </c>
      <c r="E20" s="101">
        <f t="shared" si="5"/>
        <v>47073.19537386</v>
      </c>
      <c r="F20" s="101">
        <f t="shared" si="5"/>
        <v>50465.5487350749</v>
      </c>
      <c r="G20" s="101">
        <f t="shared" si="5"/>
        <v>54076.005488228366</v>
      </c>
      <c r="H20" s="101">
        <f t="shared" si="5"/>
        <v>57956.067034019725</v>
      </c>
      <c r="I20" s="55"/>
    </row>
    <row r="21" spans="1:9" ht="12.75" customHeight="1">
      <c r="A21" s="158" t="s">
        <v>205</v>
      </c>
      <c r="B21" s="75"/>
      <c r="C21" s="75"/>
      <c r="D21" s="75"/>
      <c r="E21" s="102">
        <f>D21*(1+Parâmetros!B14)*(1+Parâmetros!B16)*(1+Parâmetros!B21)</f>
        <v>0</v>
      </c>
      <c r="F21" s="102">
        <f>E21*(1+Parâmetros!C14)*(1+Parâmetros!C16)*(1+Parâmetros!C21)</f>
        <v>0</v>
      </c>
      <c r="G21" s="102">
        <f>F21*(1+Parâmetros!D14)*(1+Parâmetros!D16)*(1+Parâmetros!D21)</f>
        <v>0</v>
      </c>
      <c r="H21" s="102">
        <f>G21*(1+Parâmetros!E14)*(1+Parâmetros!E16)*(1+Parâmetros!E21)</f>
        <v>0</v>
      </c>
      <c r="I21" s="52"/>
    </row>
    <row r="22" spans="1:9" ht="12.75" customHeight="1">
      <c r="A22" s="158" t="s">
        <v>115</v>
      </c>
      <c r="B22" s="75"/>
      <c r="C22" s="75"/>
      <c r="D22" s="75"/>
      <c r="E22" s="102">
        <f>D22*(1+Parâmetros!B14)</f>
        <v>0</v>
      </c>
      <c r="F22" s="102">
        <f>E22*(1+Parâmetros!C14)</f>
        <v>0</v>
      </c>
      <c r="G22" s="102">
        <f>F22*(1+Parâmetros!D14)</f>
        <v>0</v>
      </c>
      <c r="H22" s="102">
        <f>G22*(1+Parâmetros!E14)</f>
        <v>0</v>
      </c>
      <c r="I22" s="52"/>
    </row>
    <row r="23" spans="1:9" ht="12.75" customHeight="1">
      <c r="A23" s="158" t="s">
        <v>116</v>
      </c>
      <c r="B23" s="75">
        <v>34397.73</v>
      </c>
      <c r="C23" s="75">
        <v>46453.77</v>
      </c>
      <c r="D23" s="75">
        <v>43321.31</v>
      </c>
      <c r="E23" s="102">
        <f>D23*(1+Parâmetros!B14)*(1+Parâmetros!B15)</f>
        <v>47073.19537386</v>
      </c>
      <c r="F23" s="102">
        <f>E23*(1+Parâmetros!C14)*(1+Parâmetros!C15)</f>
        <v>50465.5487350749</v>
      </c>
      <c r="G23" s="102">
        <f>F23*(1+Parâmetros!D14)*(1+Parâmetros!D15)</f>
        <v>54076.005488228366</v>
      </c>
      <c r="H23" s="102">
        <f>G23*(1+Parâmetros!E14)*(1+Parâmetros!E15)</f>
        <v>57956.067034019725</v>
      </c>
      <c r="I23" s="52"/>
    </row>
    <row r="24" spans="1:9" ht="12.75" customHeight="1">
      <c r="A24" s="158" t="s">
        <v>48</v>
      </c>
      <c r="B24" s="75"/>
      <c r="C24" s="75"/>
      <c r="D24" s="75"/>
      <c r="E24" s="102">
        <f>D24*(1+Parâmetros!B14)</f>
        <v>0</v>
      </c>
      <c r="F24" s="102">
        <f>E24*(1+Parâmetros!C14)</f>
        <v>0</v>
      </c>
      <c r="G24" s="102">
        <f>F24*(1+Parâmetros!D14)</f>
        <v>0</v>
      </c>
      <c r="H24" s="102">
        <f>G24*(1+Parâmetros!E14)</f>
        <v>0</v>
      </c>
      <c r="I24" s="52"/>
    </row>
    <row r="25" spans="1:9" s="50" customFormat="1" ht="12.75" customHeight="1">
      <c r="A25" s="121" t="s">
        <v>49</v>
      </c>
      <c r="B25" s="101">
        <f>+B26+B35</f>
        <v>102748.22</v>
      </c>
      <c r="C25" s="101">
        <f aca="true" t="shared" si="6" ref="C25:H25">+C26+C35</f>
        <v>64698.649999999994</v>
      </c>
      <c r="D25" s="101">
        <f t="shared" si="6"/>
        <v>104305.71</v>
      </c>
      <c r="E25" s="101">
        <f t="shared" si="6"/>
        <v>113339.21032026</v>
      </c>
      <c r="F25" s="101">
        <f t="shared" si="6"/>
        <v>121507.05718159468</v>
      </c>
      <c r="G25" s="101">
        <f t="shared" si="6"/>
        <v>130200.03657353752</v>
      </c>
      <c r="H25" s="101">
        <f t="shared" si="6"/>
        <v>139542.14959776198</v>
      </c>
      <c r="I25" s="55"/>
    </row>
    <row r="26" spans="1:9" ht="12.75" customHeight="1">
      <c r="A26" s="158" t="s">
        <v>117</v>
      </c>
      <c r="B26" s="102">
        <f aca="true" t="shared" si="7" ref="B26:H26">SUM(B27:B34)</f>
        <v>102748.22</v>
      </c>
      <c r="C26" s="102">
        <f t="shared" si="7"/>
        <v>64698.649999999994</v>
      </c>
      <c r="D26" s="102">
        <f t="shared" si="7"/>
        <v>104305.71</v>
      </c>
      <c r="E26" s="102">
        <f t="shared" si="7"/>
        <v>113339.21032026</v>
      </c>
      <c r="F26" s="102">
        <f t="shared" si="7"/>
        <v>121507.05718159468</v>
      </c>
      <c r="G26" s="102">
        <f t="shared" si="7"/>
        <v>130200.03657353752</v>
      </c>
      <c r="H26" s="102">
        <f t="shared" si="7"/>
        <v>139542.14959776198</v>
      </c>
      <c r="I26" s="52"/>
    </row>
    <row r="27" spans="1:9" ht="12.75" customHeight="1">
      <c r="A27" s="191" t="s">
        <v>139</v>
      </c>
      <c r="B27" s="75">
        <v>4333.64</v>
      </c>
      <c r="C27" s="75">
        <v>3607.23</v>
      </c>
      <c r="D27" s="75">
        <v>4890.88</v>
      </c>
      <c r="E27" s="102">
        <f>D27*(1+Parâmetros!B14)*(1+Parâmetros!B15)</f>
        <v>5314.459553279999</v>
      </c>
      <c r="F27" s="102">
        <f>E27*(1+Parâmetros!C14)*(1+Parâmetros!C15)</f>
        <v>5697.448738216899</v>
      </c>
      <c r="G27" s="102">
        <f>F27*(1+Parâmetros!D14)*(1+Parâmetros!D15)</f>
        <v>6105.061313295151</v>
      </c>
      <c r="H27" s="102">
        <f>G27*(1+Parâmetros!E14)*(1+Parâmetros!E15)</f>
        <v>6543.111672646704</v>
      </c>
      <c r="I27" s="52"/>
    </row>
    <row r="28" spans="1:9" ht="12.75" customHeight="1">
      <c r="A28" s="191" t="s">
        <v>135</v>
      </c>
      <c r="B28" s="75">
        <v>1475.95</v>
      </c>
      <c r="C28" s="75">
        <v>769.8</v>
      </c>
      <c r="D28" s="75">
        <v>1332.65</v>
      </c>
      <c r="E28" s="102">
        <f>D28*(1+Parâmetros!B14)*(1+Parâmetros!B15)</f>
        <v>1448.0654859</v>
      </c>
      <c r="F28" s="102">
        <f>E28*(1+Parâmetros!C14)*(1+Parâmetros!C15)</f>
        <v>1552.4210491741264</v>
      </c>
      <c r="G28" s="102">
        <f>F28*(1+Parâmetros!D14)*(1+Parâmetros!D15)</f>
        <v>1663.485908295191</v>
      </c>
      <c r="H28" s="102">
        <f>G28*(1+Parâmetros!E14)*(1+Parâmetros!E15)</f>
        <v>1782.8443491871874</v>
      </c>
      <c r="I28" s="52"/>
    </row>
    <row r="29" spans="1:9" ht="12.75" customHeight="1">
      <c r="A29" s="191" t="s">
        <v>184</v>
      </c>
      <c r="B29" s="75">
        <v>6576.57</v>
      </c>
      <c r="C29" s="75">
        <v>5526.17</v>
      </c>
      <c r="D29" s="75">
        <v>6838.06</v>
      </c>
      <c r="E29" s="102">
        <f>D29*(1+Parâmetros!B14)*(1+Parâmetros!B15)</f>
        <v>7430.277024360001</v>
      </c>
      <c r="F29" s="102">
        <f>E29*(1+Parâmetros!C14)*(1+Parâmetros!C15)</f>
        <v>7965.743653259016</v>
      </c>
      <c r="G29" s="102">
        <f>F29*(1+Parâmetros!D14)*(1+Parâmetros!D15)</f>
        <v>8535.636851444127</v>
      </c>
      <c r="H29" s="102">
        <f>G29*(1+Parâmetros!E14)*(1+Parâmetros!E15)</f>
        <v>9148.085866808946</v>
      </c>
      <c r="I29" s="52"/>
    </row>
    <row r="30" spans="1:9" ht="12.75" customHeight="1">
      <c r="A30" s="191" t="s">
        <v>185</v>
      </c>
      <c r="B30" s="75"/>
      <c r="C30" s="75"/>
      <c r="D30" s="75"/>
      <c r="E30" s="102">
        <f>D30*(1+Parâmetros!B14)*(1+Parâmetros!B15)</f>
        <v>0</v>
      </c>
      <c r="F30" s="102">
        <f>E30*(1+Parâmetros!C14)*(1+Parâmetros!C15)</f>
        <v>0</v>
      </c>
      <c r="G30" s="102">
        <f>F30*(1+Parâmetros!D14)*(1+Parâmetros!D15)</f>
        <v>0</v>
      </c>
      <c r="H30" s="102">
        <f>G30*(1+Parâmetros!E14)*(1+Parâmetros!E15)</f>
        <v>0</v>
      </c>
      <c r="I30" s="52"/>
    </row>
    <row r="31" spans="1:9" ht="12.75" customHeight="1">
      <c r="A31" s="191" t="s">
        <v>133</v>
      </c>
      <c r="B31" s="75"/>
      <c r="C31" s="75"/>
      <c r="D31" s="75"/>
      <c r="E31" s="102">
        <f>D31*(1+Parâmetros!B14)*(1+Parâmetros!B15)</f>
        <v>0</v>
      </c>
      <c r="F31" s="102">
        <f>E31*(1+Parâmetros!C14)*(1+Parâmetros!C15)</f>
        <v>0</v>
      </c>
      <c r="G31" s="102">
        <f>F31*(1+Parâmetros!D14)*(1+Parâmetros!D15)</f>
        <v>0</v>
      </c>
      <c r="H31" s="102">
        <f>G31*(1+Parâmetros!E14)*(1+Parâmetros!E15)</f>
        <v>0</v>
      </c>
      <c r="I31" s="52"/>
    </row>
    <row r="32" spans="1:9" ht="12.75" customHeight="1">
      <c r="A32" s="191" t="s">
        <v>186</v>
      </c>
      <c r="B32" s="75"/>
      <c r="C32" s="75"/>
      <c r="D32" s="75"/>
      <c r="E32" s="102">
        <f>D32*(1+Parâmetros!B14)*(1+Parâmetros!B15)</f>
        <v>0</v>
      </c>
      <c r="F32" s="102">
        <f>E32*(1+Parâmetros!C14)*(1+Parâmetros!C15)</f>
        <v>0</v>
      </c>
      <c r="G32" s="102">
        <f>F32*(1+Parâmetros!D14)*(1+Parâmetros!D15)</f>
        <v>0</v>
      </c>
      <c r="H32" s="102">
        <f>G32*(1+Parâmetros!E14)*(1+Parâmetros!E15)</f>
        <v>0</v>
      </c>
      <c r="I32" s="52"/>
    </row>
    <row r="33" spans="1:9" ht="12.75" customHeight="1">
      <c r="A33" s="191" t="s">
        <v>134</v>
      </c>
      <c r="B33" s="75">
        <v>63835.77</v>
      </c>
      <c r="C33" s="75">
        <v>37440.84</v>
      </c>
      <c r="D33" s="75">
        <v>64731.4</v>
      </c>
      <c r="E33" s="102">
        <f>D33*(1+Parâmetros!B14)*(1+Parâmetros!B15)</f>
        <v>70337.5276284</v>
      </c>
      <c r="F33" s="102">
        <f>E33*(1+Parâmetros!C14)*(1+Parâmetros!C15)</f>
        <v>75406.43672570445</v>
      </c>
      <c r="G33" s="102">
        <f>F33*(1+Parâmetros!D14)*(1+Parâmetros!D15)</f>
        <v>80801.23942837153</v>
      </c>
      <c r="H33" s="102">
        <f>G33*(1+Parâmetros!E14)*(1+Parâmetros!E15)</f>
        <v>86598.88995983604</v>
      </c>
      <c r="I33" s="52"/>
    </row>
    <row r="34" spans="1:9" ht="12.75" customHeight="1">
      <c r="A34" s="191" t="s">
        <v>187</v>
      </c>
      <c r="B34" s="75">
        <v>26526.29</v>
      </c>
      <c r="C34" s="75">
        <v>17354.61</v>
      </c>
      <c r="D34" s="75">
        <v>26512.72</v>
      </c>
      <c r="E34" s="102">
        <f>D34*(1+Parâmetros!B14)*(1+Parâmetros!B15)</f>
        <v>28808.88062832</v>
      </c>
      <c r="F34" s="102">
        <f>E34*(1+Parâmetros!C14)*(1+Parâmetros!C15)</f>
        <v>30885.007015240193</v>
      </c>
      <c r="G34" s="102">
        <f>F34*(1+Parâmetros!D14)*(1+Parâmetros!D15)</f>
        <v>33094.61307213153</v>
      </c>
      <c r="H34" s="102">
        <f>G34*(1+Parâmetros!E14)*(1+Parâmetros!E15)</f>
        <v>35469.2177492831</v>
      </c>
      <c r="I34" s="52"/>
    </row>
    <row r="35" spans="1:9" ht="12.75" customHeight="1">
      <c r="A35" s="158" t="s">
        <v>50</v>
      </c>
      <c r="B35" s="75"/>
      <c r="C35" s="75"/>
      <c r="D35" s="75"/>
      <c r="E35" s="102">
        <f>D35*(1+Parâmetros!B14)</f>
        <v>0</v>
      </c>
      <c r="F35" s="102">
        <f>E35*(1+Parâmetros!C14)</f>
        <v>0</v>
      </c>
      <c r="G35" s="102">
        <f>F35*(1+Parâmetros!D14)</f>
        <v>0</v>
      </c>
      <c r="H35" s="102">
        <f>G35*(1+Parâmetros!E14)</f>
        <v>0</v>
      </c>
      <c r="I35" s="52"/>
    </row>
    <row r="36" spans="1:9" s="50" customFormat="1" ht="12.75" customHeight="1">
      <c r="A36" s="121" t="s">
        <v>42</v>
      </c>
      <c r="B36" s="76"/>
      <c r="C36" s="76"/>
      <c r="D36" s="76"/>
      <c r="E36" s="101">
        <f>D36*(1+Parâmetros!B14)*(1+Parâmetros!B18)</f>
        <v>0</v>
      </c>
      <c r="F36" s="101">
        <f>E36*(1+Parâmetros!C14)*(1+Parâmetros!C18)</f>
        <v>0</v>
      </c>
      <c r="G36" s="101">
        <f>F36*(1+Parâmetros!D14)*(1+Parâmetros!D18)</f>
        <v>0</v>
      </c>
      <c r="H36" s="101">
        <f>G36*(1+Parâmetros!E14)*(1+Parâmetros!E18)</f>
        <v>0</v>
      </c>
      <c r="I36" s="55"/>
    </row>
    <row r="37" spans="1:9" s="50" customFormat="1" ht="12.75" customHeight="1">
      <c r="A37" s="121" t="s">
        <v>40</v>
      </c>
      <c r="B37" s="76"/>
      <c r="C37" s="76"/>
      <c r="D37" s="76"/>
      <c r="E37" s="101">
        <f>D37*(1+Parâmetros!B14)*(1+Parâmetros!B18)</f>
        <v>0</v>
      </c>
      <c r="F37" s="101">
        <f>E37*(1+Parâmetros!C14)*(1+Parâmetros!C18)</f>
        <v>0</v>
      </c>
      <c r="G37" s="101">
        <f>F37*(1+Parâmetros!D14)*(1+Parâmetros!D18)</f>
        <v>0</v>
      </c>
      <c r="H37" s="101">
        <f>G37*(1+Parâmetros!E14)*(1+Parâmetros!E18)</f>
        <v>0</v>
      </c>
      <c r="I37" s="55"/>
    </row>
    <row r="38" spans="1:9" s="50" customFormat="1" ht="12.75" customHeight="1">
      <c r="A38" s="121" t="s">
        <v>41</v>
      </c>
      <c r="B38" s="101">
        <f>SUM(B39:B40)</f>
        <v>0</v>
      </c>
      <c r="C38" s="101">
        <f aca="true" t="shared" si="8" ref="C38:H38">SUM(C39:C40)</f>
        <v>44715.69</v>
      </c>
      <c r="D38" s="101">
        <f t="shared" si="8"/>
        <v>0</v>
      </c>
      <c r="E38" s="101">
        <f t="shared" si="8"/>
        <v>0</v>
      </c>
      <c r="F38" s="101">
        <f t="shared" si="8"/>
        <v>0</v>
      </c>
      <c r="G38" s="101">
        <f t="shared" si="8"/>
        <v>0</v>
      </c>
      <c r="H38" s="101">
        <f t="shared" si="8"/>
        <v>0</v>
      </c>
      <c r="I38" s="55"/>
    </row>
    <row r="39" spans="1:9" ht="12.75" customHeight="1">
      <c r="A39" s="192" t="s">
        <v>94</v>
      </c>
      <c r="B39" s="77"/>
      <c r="C39" s="77"/>
      <c r="D39" s="77"/>
      <c r="E39" s="148">
        <f>D39*(1+Parâmetros!B14)</f>
        <v>0</v>
      </c>
      <c r="F39" s="148">
        <f>E39*(1+Parâmetros!C14)</f>
        <v>0</v>
      </c>
      <c r="G39" s="148">
        <f>F39*(1+Parâmetros!D14)</f>
        <v>0</v>
      </c>
      <c r="H39" s="148">
        <f>G39*(1+Parâmetros!E14)</f>
        <v>0</v>
      </c>
      <c r="I39" s="52"/>
    </row>
    <row r="40" spans="1:9" ht="12.75" customHeight="1">
      <c r="A40" s="193" t="s">
        <v>95</v>
      </c>
      <c r="B40" s="78"/>
      <c r="C40" s="78">
        <v>44715.69</v>
      </c>
      <c r="D40" s="78"/>
      <c r="E40" s="150">
        <f>D40*(1+Parâmetros!B14)</f>
        <v>0</v>
      </c>
      <c r="F40" s="150">
        <f>E40*(1+Parâmetros!C14)</f>
        <v>0</v>
      </c>
      <c r="G40" s="150">
        <f>F40*(1+Parâmetros!D14)</f>
        <v>0</v>
      </c>
      <c r="H40" s="150">
        <f>G40*(1+Parâmetros!E14)</f>
        <v>0</v>
      </c>
      <c r="I40" s="52"/>
    </row>
    <row r="41" spans="1:9" s="50" customFormat="1" ht="12.75" customHeight="1">
      <c r="A41" s="121" t="s">
        <v>37</v>
      </c>
      <c r="B41" s="101">
        <f aca="true" t="shared" si="9" ref="B41:H41">B42+B67+B74</f>
        <v>18135584.229999997</v>
      </c>
      <c r="C41" s="101">
        <f t="shared" si="9"/>
        <v>20342444.18</v>
      </c>
      <c r="D41" s="101">
        <f t="shared" si="9"/>
        <v>20788463.689999998</v>
      </c>
      <c r="E41" s="101">
        <f t="shared" si="9"/>
        <v>23558923.229698002</v>
      </c>
      <c r="F41" s="101">
        <f t="shared" si="9"/>
        <v>26322186.868849322</v>
      </c>
      <c r="G41" s="101">
        <f t="shared" si="9"/>
        <v>29411020.06564668</v>
      </c>
      <c r="H41" s="101">
        <f t="shared" si="9"/>
        <v>32863847.91146657</v>
      </c>
      <c r="I41" s="55"/>
    </row>
    <row r="42" spans="1:9" ht="12.75" customHeight="1">
      <c r="A42" s="158" t="s">
        <v>104</v>
      </c>
      <c r="B42" s="102">
        <f aca="true" t="shared" si="10" ref="B42:H42">B43+B54+B62+B65</f>
        <v>17685819.229999997</v>
      </c>
      <c r="C42" s="102">
        <f t="shared" si="10"/>
        <v>20133443.33</v>
      </c>
      <c r="D42" s="102">
        <f t="shared" si="10"/>
        <v>20527651.189999998</v>
      </c>
      <c r="E42" s="102">
        <f t="shared" si="10"/>
        <v>23282461.979698002</v>
      </c>
      <c r="F42" s="102">
        <f t="shared" si="10"/>
        <v>26033284.86259932</v>
      </c>
      <c r="G42" s="102">
        <f t="shared" si="10"/>
        <v>29109117.46911543</v>
      </c>
      <c r="H42" s="102">
        <f t="shared" si="10"/>
        <v>32548359.698091414</v>
      </c>
      <c r="I42" s="52"/>
    </row>
    <row r="43" spans="1:9" ht="12.75" customHeight="1">
      <c r="A43" s="194" t="s">
        <v>105</v>
      </c>
      <c r="B43" s="101">
        <f>SUM(B44:B53)</f>
        <v>8872591.29</v>
      </c>
      <c r="C43" s="101">
        <f aca="true" t="shared" si="11" ref="C43:H43">SUM(C44:C53)</f>
        <v>10123017.149999999</v>
      </c>
      <c r="D43" s="101">
        <f t="shared" si="11"/>
        <v>10135492.19</v>
      </c>
      <c r="E43" s="101">
        <f t="shared" si="11"/>
        <v>11495675.241898</v>
      </c>
      <c r="F43" s="101">
        <f t="shared" si="11"/>
        <v>12853889.27172825</v>
      </c>
      <c r="G43" s="101">
        <f t="shared" si="11"/>
        <v>14372576.289182942</v>
      </c>
      <c r="H43" s="101">
        <f t="shared" si="11"/>
        <v>16070696.177749906</v>
      </c>
      <c r="I43" s="52"/>
    </row>
    <row r="44" spans="1:9" s="58" customFormat="1" ht="12.75" customHeight="1">
      <c r="A44" s="195" t="s">
        <v>52</v>
      </c>
      <c r="B44" s="75">
        <v>6707087.39</v>
      </c>
      <c r="C44" s="75">
        <v>7496227.89</v>
      </c>
      <c r="D44" s="75">
        <v>8207522.43</v>
      </c>
      <c r="E44" s="102">
        <f>D44*(1+Parâmetros!B14)*(1+Parâmetros!B19)</f>
        <v>9308971.940106</v>
      </c>
      <c r="F44" s="102">
        <f>E44*(1+Parâmetros!C14)*(1+Parâmetros!C19)</f>
        <v>10408826.974829525</v>
      </c>
      <c r="G44" s="102">
        <f>F44*(1+Parâmetros!D14)*(1+Parâmetros!D19)</f>
        <v>11638629.881905632</v>
      </c>
      <c r="H44" s="102">
        <f>G44*(1+Parâmetros!E14)*(1+Parâmetros!E19)</f>
        <v>13013734.002452781</v>
      </c>
      <c r="I44" s="57"/>
    </row>
    <row r="45" spans="1:9" s="58" customFormat="1" ht="12.75" customHeight="1">
      <c r="A45" s="195" t="s">
        <v>188</v>
      </c>
      <c r="B45" s="75"/>
      <c r="C45" s="75"/>
      <c r="D45" s="75">
        <v>232158.64</v>
      </c>
      <c r="E45" s="102">
        <f>D45*(1+Parâmetros!B14)*(1+Parâmetros!B19)</f>
        <v>263314.329488</v>
      </c>
      <c r="F45" s="102">
        <f>E45*(1+Parâmetros!C14)*(1+Parâmetros!C19)</f>
        <v>294424.9175170072</v>
      </c>
      <c r="G45" s="102">
        <f>F45*(1+Parâmetros!D14)*(1+Parâmetros!D19)</f>
        <v>329211.2215216416</v>
      </c>
      <c r="H45" s="102">
        <f>G45*(1+Parâmetros!E14)*(1+Parâmetros!E19)</f>
        <v>368107.5273444236</v>
      </c>
      <c r="I45" s="57"/>
    </row>
    <row r="46" spans="1:9" s="58" customFormat="1" ht="12.75" customHeight="1">
      <c r="A46" s="195" t="s">
        <v>51</v>
      </c>
      <c r="B46" s="75">
        <v>735225.81</v>
      </c>
      <c r="C46" s="75">
        <v>766414.27</v>
      </c>
      <c r="D46" s="75">
        <v>350191.07</v>
      </c>
      <c r="E46" s="102">
        <f>D46*(1+Parâmetros!B14)*(1+Parâmetros!B19)</f>
        <v>397186.71159400005</v>
      </c>
      <c r="F46" s="102">
        <f>E46*(1+Parâmetros!C14)*(1+Parâmetros!C19)</f>
        <v>444114.32156883116</v>
      </c>
      <c r="G46" s="102">
        <f>F46*(1+Parâmetros!D14)*(1+Parâmetros!D19)</f>
        <v>496586.4286621886</v>
      </c>
      <c r="H46" s="102">
        <f>G46*(1+Parâmetros!E14)*(1+Parâmetros!E19)</f>
        <v>555258.1152086261</v>
      </c>
      <c r="I46" s="57"/>
    </row>
    <row r="47" spans="1:9" s="58" customFormat="1" ht="12.75" customHeight="1">
      <c r="A47" s="195" t="s">
        <v>118</v>
      </c>
      <c r="B47" s="75"/>
      <c r="C47" s="75"/>
      <c r="D47" s="75"/>
      <c r="E47" s="102">
        <f>D47*(1+Parâmetros!B14)*(1+Parâmetros!B19)</f>
        <v>0</v>
      </c>
      <c r="F47" s="102">
        <f>E47*(1+Parâmetros!C14)*(1+Parâmetros!C19)</f>
        <v>0</v>
      </c>
      <c r="G47" s="102">
        <f>F47*(1+Parâmetros!D14)*(1+Parâmetros!D19)</f>
        <v>0</v>
      </c>
      <c r="H47" s="102">
        <f>G47*(1+Parâmetros!E14)*(1+Parâmetros!E19)</f>
        <v>0</v>
      </c>
      <c r="I47" s="57"/>
    </row>
    <row r="48" spans="1:9" s="58" customFormat="1" ht="12.75" customHeight="1">
      <c r="A48" s="195" t="s">
        <v>106</v>
      </c>
      <c r="B48" s="75">
        <v>685674.38</v>
      </c>
      <c r="C48" s="75">
        <v>722881.65</v>
      </c>
      <c r="D48" s="75">
        <v>577500</v>
      </c>
      <c r="E48" s="102">
        <f>D48*(1+Parâmetros!B14)*(1+Parâmetros!B19)</f>
        <v>655000.5</v>
      </c>
      <c r="F48" s="102">
        <f>E48*(1+Parâmetros!C14)*(1+Parâmetros!C19)</f>
        <v>732388.809075</v>
      </c>
      <c r="G48" s="102">
        <f>F48*(1+Parâmetros!D14)*(1+Parâmetros!D19)</f>
        <v>818920.5468672112</v>
      </c>
      <c r="H48" s="102">
        <f>G48*(1+Parâmetros!E14)*(1+Parâmetros!E19)</f>
        <v>915676.0094795722</v>
      </c>
      <c r="I48" s="57"/>
    </row>
    <row r="49" spans="1:9" s="58" customFormat="1" ht="12.75" customHeight="1">
      <c r="A49" s="195" t="s">
        <v>96</v>
      </c>
      <c r="B49" s="75">
        <v>110742.84</v>
      </c>
      <c r="C49" s="75">
        <v>90946.98</v>
      </c>
      <c r="D49" s="75">
        <v>313510</v>
      </c>
      <c r="E49" s="102">
        <f>D49*(1+Parâmetros!B14)*(1+Parâmetros!B19)</f>
        <v>355583.0420000001</v>
      </c>
      <c r="F49" s="102">
        <f>E49*(1+Parâmetros!C14)*(1+Parâmetros!C19)</f>
        <v>397595.1784123001</v>
      </c>
      <c r="G49" s="102">
        <f>F49*(1+Parâmetros!D14)*(1+Parâmetros!D19)</f>
        <v>444571.0487417134</v>
      </c>
      <c r="H49" s="102">
        <f>G49*(1+Parâmetros!E14)*(1+Parâmetros!E19)</f>
        <v>497097.11815054686</v>
      </c>
      <c r="I49" s="57"/>
    </row>
    <row r="50" spans="1:9" s="58" customFormat="1" ht="12.75" customHeight="1">
      <c r="A50" s="195" t="s">
        <v>97</v>
      </c>
      <c r="B50" s="75">
        <v>488138.12</v>
      </c>
      <c r="C50" s="75">
        <v>441745.62</v>
      </c>
      <c r="D50" s="75">
        <v>324985.7</v>
      </c>
      <c r="E50" s="102">
        <f>D50*(1+Parâmetros!B14)*(1+Parâmetros!B19)</f>
        <v>368598.78094</v>
      </c>
      <c r="F50" s="102">
        <f>E50*(1+Parâmetros!C14)*(1+Parâmetros!C19)</f>
        <v>412148.726908061</v>
      </c>
      <c r="G50" s="102">
        <f>F50*(1+Parâmetros!D14)*(1+Parâmetros!D19)</f>
        <v>460844.0989922484</v>
      </c>
      <c r="H50" s="102">
        <f>G50*(1+Parâmetros!E14)*(1+Parâmetros!E19)</f>
        <v>515292.82928818255</v>
      </c>
      <c r="I50" s="57"/>
    </row>
    <row r="51" spans="1:9" s="58" customFormat="1" ht="12.75" customHeight="1">
      <c r="A51" s="195" t="s">
        <v>98</v>
      </c>
      <c r="B51" s="75">
        <v>41992.91</v>
      </c>
      <c r="C51" s="75">
        <v>43604.42</v>
      </c>
      <c r="D51" s="75">
        <v>47466.5</v>
      </c>
      <c r="E51" s="102">
        <f>D51*(1+Parâmetros!B14)*(1+Parâmetros!B19)</f>
        <v>53836.50430000001</v>
      </c>
      <c r="F51" s="102">
        <f>E51*(1+Parâmetros!C14)*(1+Parâmetros!C19)</f>
        <v>60197.28728304501</v>
      </c>
      <c r="G51" s="102">
        <f>F51*(1+Parâmetros!D14)*(1+Parâmetros!D19)</f>
        <v>67309.59677553677</v>
      </c>
      <c r="H51" s="102">
        <f>G51*(1+Parâmetros!E14)*(1+Parâmetros!E19)</f>
        <v>75262.22563456644</v>
      </c>
      <c r="I51" s="57"/>
    </row>
    <row r="52" spans="1:9" s="58" customFormat="1" ht="12.75" customHeight="1">
      <c r="A52" s="195" t="s">
        <v>119</v>
      </c>
      <c r="B52" s="75">
        <v>71237.28</v>
      </c>
      <c r="C52" s="75">
        <v>61102.78</v>
      </c>
      <c r="D52" s="75">
        <v>82157.85</v>
      </c>
      <c r="E52" s="102">
        <f>D52*(1+Parâmetros!B14)*(1+Parâmetros!B19)</f>
        <v>93183.43347000002</v>
      </c>
      <c r="F52" s="102">
        <f>E52*(1+Parâmetros!C14)*(1+Parâmetros!C19)</f>
        <v>104193.05613448052</v>
      </c>
      <c r="G52" s="102">
        <f>F52*(1+Parâmetros!D14)*(1+Parâmetros!D19)</f>
        <v>116503.46571676938</v>
      </c>
      <c r="H52" s="102">
        <f>G52*(1+Parâmetros!E14)*(1+Parâmetros!E19)</f>
        <v>130268.35019120568</v>
      </c>
      <c r="I52" s="57"/>
    </row>
    <row r="53" spans="1:9" s="58" customFormat="1" ht="12.75" customHeight="1">
      <c r="A53" s="195" t="s">
        <v>100</v>
      </c>
      <c r="B53" s="75">
        <v>32492.56</v>
      </c>
      <c r="C53" s="75">
        <v>500093.54</v>
      </c>
      <c r="D53" s="75"/>
      <c r="E53" s="102">
        <f>D53*(1+Parâmetros!B14)*(1+Parâmetros!B19)</f>
        <v>0</v>
      </c>
      <c r="F53" s="102">
        <f>E53*(1+Parâmetros!C14)*(1+Parâmetros!C19)</f>
        <v>0</v>
      </c>
      <c r="G53" s="102">
        <f>F53*(1+Parâmetros!D14)*(1+Parâmetros!D19)</f>
        <v>0</v>
      </c>
      <c r="H53" s="102">
        <f>G53*(1+Parâmetros!E14)*(1+Parâmetros!E19)</f>
        <v>0</v>
      </c>
      <c r="I53" s="57"/>
    </row>
    <row r="54" spans="1:9" ht="12.75" customHeight="1">
      <c r="A54" s="194" t="s">
        <v>101</v>
      </c>
      <c r="B54" s="101">
        <f>SUM(B55:B61)</f>
        <v>6272086.239999998</v>
      </c>
      <c r="C54" s="101">
        <f aca="true" t="shared" si="12" ref="C54:H54">SUM(C55:C61)</f>
        <v>7308938.239999998</v>
      </c>
      <c r="D54" s="101">
        <f t="shared" si="12"/>
        <v>7479619</v>
      </c>
      <c r="E54" s="101">
        <f t="shared" si="12"/>
        <v>8483383.869800001</v>
      </c>
      <c r="F54" s="101">
        <f t="shared" si="12"/>
        <v>9485695.67401687</v>
      </c>
      <c r="G54" s="101">
        <f t="shared" si="12"/>
        <v>10606430.617901962</v>
      </c>
      <c r="H54" s="101">
        <f t="shared" si="12"/>
        <v>11859580.395407079</v>
      </c>
      <c r="I54" s="52"/>
    </row>
    <row r="55" spans="1:9" ht="12.75" customHeight="1">
      <c r="A55" s="195" t="s">
        <v>53</v>
      </c>
      <c r="B55" s="75">
        <v>5843221.27</v>
      </c>
      <c r="C55" s="75">
        <v>6715406.5</v>
      </c>
      <c r="D55" s="75">
        <v>6757050</v>
      </c>
      <c r="E55" s="102">
        <f>D55*(1+Parâmetros!B14)*(1+Parâmetros!B19)</f>
        <v>7663846.11</v>
      </c>
      <c r="F55" s="102">
        <f>E55*(1+Parâmetros!C14)*(1+Parâmetros!C19)</f>
        <v>8569329.5278965</v>
      </c>
      <c r="G55" s="102">
        <f>F55*(1+Parâmetros!D14)*(1+Parâmetros!D19)</f>
        <v>9581795.81161747</v>
      </c>
      <c r="H55" s="102">
        <f>G55*(1+Parâmetros!E14)*(1+Parâmetros!E19)</f>
        <v>10713884.986760074</v>
      </c>
      <c r="I55" s="52"/>
    </row>
    <row r="56" spans="1:9" ht="12.75" customHeight="1">
      <c r="A56" s="195" t="s">
        <v>6</v>
      </c>
      <c r="B56" s="75">
        <v>114752.18</v>
      </c>
      <c r="C56" s="75">
        <v>135194.6</v>
      </c>
      <c r="D56" s="75">
        <v>164031</v>
      </c>
      <c r="E56" s="102">
        <f>D56*(1+Parâmetros!B14)*(1+Parâmetros!B19)</f>
        <v>186043.96020000003</v>
      </c>
      <c r="F56" s="102">
        <f>E56*(1+Parâmetros!C14)*(1+Parâmetros!C19)</f>
        <v>208025.05409763003</v>
      </c>
      <c r="G56" s="102">
        <f>F56*(1+Parâmetros!D14)*(1+Parâmetros!D19)</f>
        <v>232603.214239265</v>
      </c>
      <c r="H56" s="102">
        <f>G56*(1+Parâmetros!E14)*(1+Parâmetros!E19)</f>
        <v>260085.28400163417</v>
      </c>
      <c r="I56" s="52"/>
    </row>
    <row r="57" spans="1:9" s="58" customFormat="1" ht="12.75" customHeight="1">
      <c r="A57" s="195" t="s">
        <v>189</v>
      </c>
      <c r="B57" s="75">
        <v>109492.27</v>
      </c>
      <c r="C57" s="75">
        <v>77467.89</v>
      </c>
      <c r="D57" s="75">
        <v>123478</v>
      </c>
      <c r="E57" s="102">
        <f>D57*(1+Parâmetros!B14)*(1+Parâmetros!B19)</f>
        <v>140048.7476</v>
      </c>
      <c r="F57" s="102">
        <f>E57*(1+Parâmetros!C14)*(1+Parâmetros!C19)</f>
        <v>156595.50712894002</v>
      </c>
      <c r="G57" s="102">
        <f>F57*(1+Parâmetros!D14)*(1+Parâmetros!D19)</f>
        <v>175097.2662962243</v>
      </c>
      <c r="H57" s="102">
        <f>G57*(1+Parâmetros!E14)*(1+Parâmetros!E19)</f>
        <v>195785.0083091232</v>
      </c>
      <c r="I57" s="57"/>
    </row>
    <row r="58" spans="1:9" ht="12.75" customHeight="1">
      <c r="A58" s="195" t="s">
        <v>190</v>
      </c>
      <c r="B58" s="75">
        <v>6316.85</v>
      </c>
      <c r="C58" s="75">
        <v>9660.89</v>
      </c>
      <c r="D58" s="75">
        <v>10700</v>
      </c>
      <c r="E58" s="102">
        <f>D58*(1+Parâmetros!B14)*(1+Parâmetros!B19)</f>
        <v>12135.94</v>
      </c>
      <c r="F58" s="102">
        <f>E58*(1+Parâmetros!C14)*(1+Parâmetros!C19)</f>
        <v>13569.801311000001</v>
      </c>
      <c r="G58" s="102">
        <f>F58*(1+Parâmetros!D14)*(1+Parâmetros!D19)</f>
        <v>15173.07333589465</v>
      </c>
      <c r="H58" s="102">
        <f>G58*(1+Parâmetros!E14)*(1+Parâmetros!E19)</f>
        <v>16965.771950530605</v>
      </c>
      <c r="I58" s="52"/>
    </row>
    <row r="59" spans="1:9" ht="12.75" customHeight="1">
      <c r="A59" s="195" t="s">
        <v>191</v>
      </c>
      <c r="B59" s="75"/>
      <c r="C59" s="75"/>
      <c r="D59" s="75"/>
      <c r="E59" s="102">
        <f>D59*(1+Parâmetros!B14)*(1+Parâmetros!B19)</f>
        <v>0</v>
      </c>
      <c r="F59" s="102">
        <f>E59*(1+Parâmetros!C14)*(1+Parâmetros!C19)</f>
        <v>0</v>
      </c>
      <c r="G59" s="102">
        <f>F59*(1+Parâmetros!D14)*(1+Parâmetros!D19)</f>
        <v>0</v>
      </c>
      <c r="H59" s="102">
        <f>G59*(1+Parâmetros!E14)*(1+Parâmetros!E19)</f>
        <v>0</v>
      </c>
      <c r="I59" s="52"/>
    </row>
    <row r="60" spans="1:9" ht="12.75" customHeight="1">
      <c r="A60" s="195" t="s">
        <v>120</v>
      </c>
      <c r="B60" s="75">
        <v>4540.16</v>
      </c>
      <c r="C60" s="75">
        <v>12528.26</v>
      </c>
      <c r="D60" s="75"/>
      <c r="E60" s="102">
        <f>D60*(1+Parâmetros!B14)*(1+Parâmetros!B19)</f>
        <v>0</v>
      </c>
      <c r="F60" s="102">
        <f>E60*(1+Parâmetros!C14)*(1+Parâmetros!C19)</f>
        <v>0</v>
      </c>
      <c r="G60" s="102">
        <f>F60*(1+Parâmetros!D14)*(1+Parâmetros!D19)</f>
        <v>0</v>
      </c>
      <c r="H60" s="102">
        <f>G60*(1+Parâmetros!E14)*(1+Parâmetros!E19)</f>
        <v>0</v>
      </c>
      <c r="I60" s="52"/>
    </row>
    <row r="61" spans="1:9" ht="12.75" customHeight="1">
      <c r="A61" s="195" t="s">
        <v>102</v>
      </c>
      <c r="B61" s="75">
        <v>193763.51</v>
      </c>
      <c r="C61" s="75">
        <v>358680.1</v>
      </c>
      <c r="D61" s="75">
        <v>424360</v>
      </c>
      <c r="E61" s="102">
        <f>D61*(1+Parâmetros!B14)*(1+Parâmetros!B19)</f>
        <v>481309.1120000001</v>
      </c>
      <c r="F61" s="102">
        <f>E61*(1+Parâmetros!C14)*(1+Parâmetros!C19)</f>
        <v>538175.7835828001</v>
      </c>
      <c r="G61" s="102">
        <f>F61*(1+Parâmetros!D14)*(1+Parâmetros!D19)</f>
        <v>601761.2524131079</v>
      </c>
      <c r="H61" s="102">
        <f>G61*(1+Parâmetros!E14)*(1+Parâmetros!E19)</f>
        <v>672859.3443857166</v>
      </c>
      <c r="I61" s="52"/>
    </row>
    <row r="62" spans="1:9" ht="12.75" customHeight="1">
      <c r="A62" s="194" t="s">
        <v>121</v>
      </c>
      <c r="B62" s="101">
        <f>+B63+B64</f>
        <v>0</v>
      </c>
      <c r="C62" s="101">
        <f aca="true" t="shared" si="13" ref="C62:H62">+C63+C64</f>
        <v>0</v>
      </c>
      <c r="D62" s="101">
        <f t="shared" si="13"/>
        <v>0</v>
      </c>
      <c r="E62" s="101">
        <f t="shared" si="13"/>
        <v>0</v>
      </c>
      <c r="F62" s="101">
        <f t="shared" si="13"/>
        <v>0</v>
      </c>
      <c r="G62" s="101">
        <f t="shared" si="13"/>
        <v>0</v>
      </c>
      <c r="H62" s="101">
        <f t="shared" si="13"/>
        <v>0</v>
      </c>
      <c r="I62" s="52"/>
    </row>
    <row r="63" spans="1:9" ht="12.75" customHeight="1">
      <c r="A63" s="195" t="s">
        <v>106</v>
      </c>
      <c r="B63" s="75"/>
      <c r="C63" s="75"/>
      <c r="D63" s="75"/>
      <c r="E63" s="102">
        <f>D63*(1+Parâmetros!B14)</f>
        <v>0</v>
      </c>
      <c r="F63" s="102">
        <f>E63*(1+Parâmetros!C14)</f>
        <v>0</v>
      </c>
      <c r="G63" s="102">
        <f>F63*(1+Parâmetros!D14)</f>
        <v>0</v>
      </c>
      <c r="H63" s="102">
        <f>G63*(1+Parâmetros!E14)</f>
        <v>0</v>
      </c>
      <c r="I63" s="52"/>
    </row>
    <row r="64" spans="1:9" ht="12.75" customHeight="1">
      <c r="A64" s="195" t="s">
        <v>122</v>
      </c>
      <c r="B64" s="75"/>
      <c r="C64" s="75"/>
      <c r="D64" s="75"/>
      <c r="E64" s="102">
        <f>D64*(1+Parâmetros!B14)</f>
        <v>0</v>
      </c>
      <c r="F64" s="102">
        <f>E64*(1+Parâmetros!C14)</f>
        <v>0</v>
      </c>
      <c r="G64" s="102">
        <f>F64*(1+Parâmetros!D14)</f>
        <v>0</v>
      </c>
      <c r="H64" s="102">
        <f>G64*(1+Parâmetros!E14)</f>
        <v>0</v>
      </c>
      <c r="I64" s="52"/>
    </row>
    <row r="65" spans="1:255" s="86" customFormat="1" ht="12.75" customHeight="1">
      <c r="A65" s="194" t="s">
        <v>99</v>
      </c>
      <c r="B65" s="101">
        <f aca="true" t="shared" si="14" ref="B65:H65">SUM(B66:B66)</f>
        <v>2541141.7</v>
      </c>
      <c r="C65" s="101">
        <f t="shared" si="14"/>
        <v>2701487.94</v>
      </c>
      <c r="D65" s="101">
        <f t="shared" si="14"/>
        <v>2912540</v>
      </c>
      <c r="E65" s="101">
        <f t="shared" si="14"/>
        <v>3303402.8680000007</v>
      </c>
      <c r="F65" s="101">
        <f t="shared" si="14"/>
        <v>3693699.916854201</v>
      </c>
      <c r="G65" s="101">
        <f t="shared" si="14"/>
        <v>4130110.5620305245</v>
      </c>
      <c r="H65" s="101">
        <f t="shared" si="14"/>
        <v>4618083.124934431</v>
      </c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</row>
    <row r="66" spans="1:9" ht="12.75" customHeight="1">
      <c r="A66" s="195" t="s">
        <v>140</v>
      </c>
      <c r="B66" s="75">
        <v>2541141.7</v>
      </c>
      <c r="C66" s="75">
        <v>2701487.94</v>
      </c>
      <c r="D66" s="75">
        <v>2912540</v>
      </c>
      <c r="E66" s="102">
        <f>D66*(1+Parâmetros!B14)*(1+Parâmetros!B19)</f>
        <v>3303402.8680000007</v>
      </c>
      <c r="F66" s="102">
        <f>E66*(1+Parâmetros!C14)*(1+Parâmetros!C19)</f>
        <v>3693699.916854201</v>
      </c>
      <c r="G66" s="102">
        <f>F66*(1+Parâmetros!D14)*(1+Parâmetros!D19)</f>
        <v>4130110.5620305245</v>
      </c>
      <c r="H66" s="102">
        <f>G66*(1+Parâmetros!E14)*(1+Parâmetros!E19)</f>
        <v>4618083.124934431</v>
      </c>
      <c r="I66" s="57"/>
    </row>
    <row r="67" spans="1:9" ht="12.75" customHeight="1">
      <c r="A67" s="168" t="s">
        <v>181</v>
      </c>
      <c r="B67" s="101">
        <f>SUM(B68:B73)</f>
        <v>449765</v>
      </c>
      <c r="C67" s="101">
        <f aca="true" t="shared" si="15" ref="C67:H67">SUM(C68:C73)</f>
        <v>209000.85</v>
      </c>
      <c r="D67" s="101">
        <f t="shared" si="15"/>
        <v>260812.5</v>
      </c>
      <c r="E67" s="101">
        <f t="shared" si="15"/>
        <v>276461.25</v>
      </c>
      <c r="F67" s="101">
        <f t="shared" si="15"/>
        <v>288902.00625</v>
      </c>
      <c r="G67" s="101">
        <f t="shared" si="15"/>
        <v>301902.59653124993</v>
      </c>
      <c r="H67" s="101">
        <f t="shared" si="15"/>
        <v>315488.21337515616</v>
      </c>
      <c r="I67" s="52"/>
    </row>
    <row r="68" spans="1:9" ht="12.75" customHeight="1">
      <c r="A68" s="191" t="s">
        <v>136</v>
      </c>
      <c r="B68" s="75"/>
      <c r="C68" s="75"/>
      <c r="D68" s="75"/>
      <c r="E68" s="102">
        <f>D68*(1+Parâmetros!B14)</f>
        <v>0</v>
      </c>
      <c r="F68" s="102">
        <f>E68*(1+Parâmetros!C14)</f>
        <v>0</v>
      </c>
      <c r="G68" s="102">
        <f>F68*(1+Parâmetros!D14)</f>
        <v>0</v>
      </c>
      <c r="H68" s="102">
        <f>G68*(1+Parâmetros!E14)</f>
        <v>0</v>
      </c>
      <c r="I68" s="52"/>
    </row>
    <row r="69" spans="1:9" ht="12.75" customHeight="1">
      <c r="A69" s="191" t="s">
        <v>124</v>
      </c>
      <c r="B69" s="75"/>
      <c r="C69" s="75"/>
      <c r="D69" s="75"/>
      <c r="E69" s="102">
        <f>D69*(1+Parâmetros!B14)</f>
        <v>0</v>
      </c>
      <c r="F69" s="102">
        <f>E69*(1+Parâmetros!C14)</f>
        <v>0</v>
      </c>
      <c r="G69" s="102">
        <f>F69*(1+Parâmetros!D14)</f>
        <v>0</v>
      </c>
      <c r="H69" s="102">
        <f>G69*(1+Parâmetros!E14)</f>
        <v>0</v>
      </c>
      <c r="I69" s="52"/>
    </row>
    <row r="70" spans="1:9" ht="12.75" customHeight="1">
      <c r="A70" s="191" t="s">
        <v>123</v>
      </c>
      <c r="B70" s="75"/>
      <c r="C70" s="75"/>
      <c r="D70" s="75"/>
      <c r="E70" s="102">
        <f>D70*(1+Parâmetros!B14)</f>
        <v>0</v>
      </c>
      <c r="F70" s="102">
        <f>E70*(1+Parâmetros!C14)</f>
        <v>0</v>
      </c>
      <c r="G70" s="102">
        <f>F70*(1+Parâmetros!D14)</f>
        <v>0</v>
      </c>
      <c r="H70" s="102">
        <f>G70*(1+Parâmetros!E14)</f>
        <v>0</v>
      </c>
      <c r="I70" s="52"/>
    </row>
    <row r="71" spans="1:9" ht="12.75" customHeight="1">
      <c r="A71" s="191" t="s">
        <v>125</v>
      </c>
      <c r="B71" s="75"/>
      <c r="C71" s="75"/>
      <c r="D71" s="75"/>
      <c r="E71" s="102">
        <f>D71*(1+Parâmetros!B14)</f>
        <v>0</v>
      </c>
      <c r="F71" s="102">
        <f>E71*(1+Parâmetros!C14)</f>
        <v>0</v>
      </c>
      <c r="G71" s="102">
        <f>F71*(1+Parâmetros!D14)</f>
        <v>0</v>
      </c>
      <c r="H71" s="102">
        <f>G71*(1+Parâmetros!E14)</f>
        <v>0</v>
      </c>
      <c r="I71" s="52"/>
    </row>
    <row r="72" spans="1:9" ht="12.75" customHeight="1">
      <c r="A72" s="191" t="s">
        <v>193</v>
      </c>
      <c r="B72" s="75"/>
      <c r="C72" s="75"/>
      <c r="D72" s="75"/>
      <c r="E72" s="102">
        <f>D72*(1+Parâmetros!B14)</f>
        <v>0</v>
      </c>
      <c r="F72" s="102">
        <f>E72*(1+Parâmetros!C14)</f>
        <v>0</v>
      </c>
      <c r="G72" s="102">
        <f>F72*(1+Parâmetros!D14)</f>
        <v>0</v>
      </c>
      <c r="H72" s="102">
        <f>G72*(1+Parâmetros!E14)</f>
        <v>0</v>
      </c>
      <c r="I72" s="52"/>
    </row>
    <row r="73" spans="1:9" ht="12.75" customHeight="1">
      <c r="A73" s="191" t="s">
        <v>127</v>
      </c>
      <c r="B73" s="75">
        <v>449765</v>
      </c>
      <c r="C73" s="75">
        <v>209000.85</v>
      </c>
      <c r="D73" s="75">
        <v>260812.5</v>
      </c>
      <c r="E73" s="102">
        <f>D73*(1+Parâmetros!B14)</f>
        <v>276461.25</v>
      </c>
      <c r="F73" s="102">
        <f>E73*(1+Parâmetros!C14)</f>
        <v>288902.00625</v>
      </c>
      <c r="G73" s="102">
        <f>F73*(1+Parâmetros!D14)</f>
        <v>301902.59653124993</v>
      </c>
      <c r="H73" s="102">
        <f>G73*(1+Parâmetros!E14)</f>
        <v>315488.21337515616</v>
      </c>
      <c r="I73" s="52"/>
    </row>
    <row r="74" spans="1:9" ht="12.75" customHeight="1">
      <c r="A74" s="158" t="s">
        <v>103</v>
      </c>
      <c r="B74" s="75"/>
      <c r="C74" s="75">
        <v>0</v>
      </c>
      <c r="D74" s="75"/>
      <c r="E74" s="102">
        <f>D74*(1+Parâmetros!B14)</f>
        <v>0</v>
      </c>
      <c r="F74" s="102">
        <f>E74*(1+Parâmetros!C14)</f>
        <v>0</v>
      </c>
      <c r="G74" s="102">
        <f>F74*(1+Parâmetros!D14)</f>
        <v>0</v>
      </c>
      <c r="H74" s="102">
        <f>G74*(1+Parâmetros!E14)</f>
        <v>0</v>
      </c>
      <c r="I74" s="52"/>
    </row>
    <row r="75" spans="1:9" s="50" customFormat="1" ht="12.75" customHeight="1">
      <c r="A75" s="121" t="s">
        <v>54</v>
      </c>
      <c r="B75" s="101">
        <f>SUM(B76:B80)</f>
        <v>746749.45</v>
      </c>
      <c r="C75" s="101">
        <f aca="true" t="shared" si="16" ref="C75:H75">SUM(C76:C80)</f>
        <v>491136.37</v>
      </c>
      <c r="D75" s="101">
        <f t="shared" si="16"/>
        <v>839270.67</v>
      </c>
      <c r="E75" s="101">
        <f t="shared" si="16"/>
        <v>934108.25571</v>
      </c>
      <c r="F75" s="101">
        <f t="shared" si="16"/>
        <v>1024950.2835777976</v>
      </c>
      <c r="G75" s="101">
        <f t="shared" si="16"/>
        <v>1124626.6986557383</v>
      </c>
      <c r="H75" s="101">
        <f t="shared" si="16"/>
        <v>1233996.645100009</v>
      </c>
      <c r="I75" s="55"/>
    </row>
    <row r="76" spans="1:9" ht="12.75" customHeight="1">
      <c r="A76" s="158" t="s">
        <v>175</v>
      </c>
      <c r="B76" s="75">
        <v>5153.21</v>
      </c>
      <c r="C76" s="75">
        <v>20887.73</v>
      </c>
      <c r="D76" s="75">
        <v>5960.97</v>
      </c>
      <c r="E76" s="102">
        <f>D76*(1+Parâmetros!B14)*(1+Parâmetros!B18)</f>
        <v>6634.559610000001</v>
      </c>
      <c r="F76" s="102">
        <f>E76*(1+Parâmetros!C14)*(1+Parâmetros!C18)</f>
        <v>7279.770532072502</v>
      </c>
      <c r="G76" s="102">
        <f>F76*(1+Parâmetros!D14)*(1+Parâmetros!D18)</f>
        <v>7987.728216316552</v>
      </c>
      <c r="H76" s="102">
        <f>G76*(1+Parâmetros!E14)*(1+Parâmetros!E18)</f>
        <v>8764.534785353335</v>
      </c>
      <c r="I76" s="52"/>
    </row>
    <row r="77" spans="1:9" ht="12.75" customHeight="1">
      <c r="A77" s="158" t="s">
        <v>110</v>
      </c>
      <c r="B77" s="75">
        <v>991.36</v>
      </c>
      <c r="C77" s="75">
        <v>2049.54</v>
      </c>
      <c r="D77" s="75">
        <v>1096.75</v>
      </c>
      <c r="E77" s="102">
        <f>D77*(1+Parâmetros!B14)*(1+Parâmetros!B18)</f>
        <v>1220.6827500000002</v>
      </c>
      <c r="F77" s="102">
        <f>E77*(1+Parâmetros!C14)*(1+Parâmetros!C18)</f>
        <v>1339.3941474375001</v>
      </c>
      <c r="G77" s="102">
        <f>F77*(1+Parâmetros!D14)*(1+Parâmetros!D18)</f>
        <v>1469.650228275797</v>
      </c>
      <c r="H77" s="102">
        <f>G77*(1+Parâmetros!E14)*(1+Parâmetros!E18)</f>
        <v>1612.5737129756183</v>
      </c>
      <c r="I77" s="52"/>
    </row>
    <row r="78" spans="1:9" ht="12.75" customHeight="1">
      <c r="A78" s="158" t="s">
        <v>176</v>
      </c>
      <c r="B78" s="75">
        <v>102226.8</v>
      </c>
      <c r="C78" s="75">
        <v>83310.22</v>
      </c>
      <c r="D78" s="75">
        <v>121818.55</v>
      </c>
      <c r="E78" s="102">
        <f>D78*(1+Parâmetros!B14)*(1+Parâmetros!B18)</f>
        <v>135584.04615</v>
      </c>
      <c r="F78" s="102">
        <f>E78*(1+Parâmetros!C14)*(1+Parâmetros!C18)</f>
        <v>148769.5946380875</v>
      </c>
      <c r="G78" s="102">
        <f>F78*(1+Parâmetros!D14)*(1+Parâmetros!D18)</f>
        <v>163237.4377166415</v>
      </c>
      <c r="H78" s="102">
        <f>G78*(1+Parâmetros!E14)*(1+Parâmetros!E18)</f>
        <v>179112.27853458488</v>
      </c>
      <c r="I78" s="52"/>
    </row>
    <row r="79" spans="1:9" ht="12.75" customHeight="1">
      <c r="A79" s="158" t="s">
        <v>111</v>
      </c>
      <c r="B79" s="75">
        <v>3991.06</v>
      </c>
      <c r="C79" s="75">
        <v>3614.78</v>
      </c>
      <c r="D79" s="75">
        <v>539194.4</v>
      </c>
      <c r="E79" s="102">
        <f>D79*(1+Parâmetros!B14)*(1+Parâmetros!B18)</f>
        <v>600123.3672000001</v>
      </c>
      <c r="F79" s="102">
        <f>E79*(1+Parâmetros!C14)*(1+Parâmetros!C18)</f>
        <v>658485.3646602001</v>
      </c>
      <c r="G79" s="102">
        <f>F79*(1+Parâmetros!D14)*(1+Parâmetros!D18)</f>
        <v>722523.0663734045</v>
      </c>
      <c r="H79" s="102">
        <f>G79*(1+Parâmetros!E14)*(1+Parâmetros!E18)</f>
        <v>792788.434578218</v>
      </c>
      <c r="I79" s="52"/>
    </row>
    <row r="80" spans="1:9" ht="12.75" customHeight="1">
      <c r="A80" s="163" t="s">
        <v>55</v>
      </c>
      <c r="B80" s="80">
        <v>634387.02</v>
      </c>
      <c r="C80" s="80">
        <v>381274.1</v>
      </c>
      <c r="D80" s="80">
        <v>171200</v>
      </c>
      <c r="E80" s="102">
        <f>D80*(1+Parâmetros!B14)*(1+Parâmetros!B18)</f>
        <v>190545.6</v>
      </c>
      <c r="F80" s="102">
        <f>E80*(1+Parâmetros!C14)*(1+Parâmetros!C18)</f>
        <v>209076.1596</v>
      </c>
      <c r="G80" s="102">
        <f>F80*(1+Parâmetros!D14)*(1+Parâmetros!D18)</f>
        <v>229408.8161211</v>
      </c>
      <c r="H80" s="102">
        <f>G80*(1+Parâmetros!E14)*(1+Parâmetros!E18)</f>
        <v>251718.82348887698</v>
      </c>
      <c r="I80" s="87"/>
    </row>
    <row r="81" spans="1:9" ht="12.75" customHeight="1">
      <c r="A81" s="168" t="s">
        <v>142</v>
      </c>
      <c r="B81" s="101">
        <f aca="true" t="shared" si="17" ref="B81:H81">SUM(B82:B83)</f>
        <v>-2639596.6352617387</v>
      </c>
      <c r="C81" s="101">
        <f t="shared" si="17"/>
        <v>-3110633.044917086</v>
      </c>
      <c r="D81" s="101">
        <f t="shared" si="17"/>
        <v>-3129947.8000000003</v>
      </c>
      <c r="E81" s="101">
        <f t="shared" si="17"/>
        <v>-3549986.794760001</v>
      </c>
      <c r="F81" s="101">
        <f t="shared" si="17"/>
        <v>-3969417.734560894</v>
      </c>
      <c r="G81" s="101">
        <f t="shared" si="17"/>
        <v>-4438404.439899264</v>
      </c>
      <c r="H81" s="101">
        <f t="shared" si="17"/>
        <v>-4962801.924473361</v>
      </c>
      <c r="I81" s="87"/>
    </row>
    <row r="82" spans="1:9" ht="12.75" customHeight="1">
      <c r="A82" s="163" t="s">
        <v>143</v>
      </c>
      <c r="B82" s="143">
        <f>-(B44+B46+B51+B55+B56+B57)*0.19477871</f>
        <v>-2639596.6352617387</v>
      </c>
      <c r="C82" s="143">
        <f>-(C44+C46+C51+C55+C56+C57)*0.20418594</f>
        <v>-3110633.044917086</v>
      </c>
      <c r="D82" s="143">
        <f>-(D44+D46+D51+D55+D56+D57)*0.2</f>
        <v>-3129947.8000000003</v>
      </c>
      <c r="E82" s="143">
        <f>-(E44+E46+E51+E55+E56+E57)*0.2</f>
        <v>-3549986.794760001</v>
      </c>
      <c r="F82" s="143">
        <f>-(F44+F46+F51+F55+F56+F57)*0.2</f>
        <v>-3969417.734560894</v>
      </c>
      <c r="G82" s="143">
        <f>-(G44+G46+G51+G55+G56+G57)*0.2</f>
        <v>-4438404.439899264</v>
      </c>
      <c r="H82" s="143">
        <f>-(H44+H46+H51+H55+H56+H57)*0.2</f>
        <v>-4962801.924473361</v>
      </c>
      <c r="I82" s="87"/>
    </row>
    <row r="83" spans="1:9" ht="12.75" customHeight="1">
      <c r="A83" s="158" t="s">
        <v>192</v>
      </c>
      <c r="B83" s="294"/>
      <c r="C83" s="75">
        <v>0</v>
      </c>
      <c r="D83" s="75">
        <v>0</v>
      </c>
      <c r="E83" s="102">
        <f>D83*(1+Parâmetros!B14)</f>
        <v>0</v>
      </c>
      <c r="F83" s="102">
        <f>E83*(1+Parâmetros!C14)</f>
        <v>0</v>
      </c>
      <c r="G83" s="102">
        <f>F83*(1+Parâmetros!D14)</f>
        <v>0</v>
      </c>
      <c r="H83" s="102">
        <f>G83*(1+Parâmetros!E14)</f>
        <v>0</v>
      </c>
      <c r="I83" s="52"/>
    </row>
    <row r="84" spans="1:9" s="60" customFormat="1" ht="12.75" customHeight="1">
      <c r="A84" s="129" t="s">
        <v>109</v>
      </c>
      <c r="B84" s="103">
        <f aca="true" t="shared" si="18" ref="B84:H84">SUM(B85:B88)+B97</f>
        <v>316214.2</v>
      </c>
      <c r="C84" s="103">
        <f t="shared" si="18"/>
        <v>12048.33</v>
      </c>
      <c r="D84" s="103">
        <f t="shared" si="18"/>
        <v>10700</v>
      </c>
      <c r="E84" s="103">
        <f t="shared" si="18"/>
        <v>11342</v>
      </c>
      <c r="F84" s="103">
        <f t="shared" si="18"/>
        <v>11852.39</v>
      </c>
      <c r="G84" s="103">
        <f t="shared" si="18"/>
        <v>12385.747549999998</v>
      </c>
      <c r="H84" s="103">
        <f t="shared" si="18"/>
        <v>12943.106189749997</v>
      </c>
      <c r="I84" s="59"/>
    </row>
    <row r="85" spans="1:9" s="50" customFormat="1" ht="12.75" customHeight="1">
      <c r="A85" s="196" t="s">
        <v>56</v>
      </c>
      <c r="B85" s="96">
        <v>307199.7</v>
      </c>
      <c r="C85" s="96"/>
      <c r="D85" s="96">
        <v>0</v>
      </c>
      <c r="E85" s="106">
        <v>0</v>
      </c>
      <c r="F85" s="106">
        <v>0</v>
      </c>
      <c r="G85" s="106"/>
      <c r="H85" s="106">
        <v>0</v>
      </c>
      <c r="I85" s="55"/>
    </row>
    <row r="86" spans="1:9" s="50" customFormat="1" ht="12.75" customHeight="1">
      <c r="A86" s="121" t="s">
        <v>57</v>
      </c>
      <c r="B86" s="76">
        <v>9014.5</v>
      </c>
      <c r="C86" s="76">
        <v>12048.33</v>
      </c>
      <c r="D86" s="76">
        <v>10700</v>
      </c>
      <c r="E86" s="101">
        <f>D86*(1+Parâmetros!B14)</f>
        <v>11342</v>
      </c>
      <c r="F86" s="101">
        <f>E86*(1+Parâmetros!C14)</f>
        <v>11852.39</v>
      </c>
      <c r="G86" s="101">
        <f>F86*(1+Parâmetros!D14)</f>
        <v>12385.747549999998</v>
      </c>
      <c r="H86" s="101">
        <f>G86*(1+Parâmetros!E14)</f>
        <v>12943.106189749997</v>
      </c>
      <c r="I86" s="55"/>
    </row>
    <row r="87" spans="1:9" s="50" customFormat="1" ht="12.75" customHeight="1">
      <c r="A87" s="149" t="s">
        <v>107</v>
      </c>
      <c r="B87" s="90"/>
      <c r="C87" s="90"/>
      <c r="D87" s="90"/>
      <c r="E87" s="106">
        <f>D87*(1+Parâmetros!B14)</f>
        <v>0</v>
      </c>
      <c r="F87" s="106">
        <f>E87*(1+Parâmetros!C14)</f>
        <v>0</v>
      </c>
      <c r="G87" s="106">
        <f>F87*(1+Parâmetros!D14)</f>
        <v>0</v>
      </c>
      <c r="H87" s="106">
        <f>G87*(1+Parâmetros!E14)</f>
        <v>0</v>
      </c>
      <c r="I87" s="55"/>
    </row>
    <row r="88" spans="1:9" s="50" customFormat="1" ht="12.75" customHeight="1">
      <c r="A88" s="121" t="s">
        <v>58</v>
      </c>
      <c r="B88" s="101">
        <f aca="true" t="shared" si="19" ref="B88:H88">+B89+B90</f>
        <v>0</v>
      </c>
      <c r="C88" s="101">
        <f t="shared" si="19"/>
        <v>0</v>
      </c>
      <c r="D88" s="101">
        <f t="shared" si="19"/>
        <v>0</v>
      </c>
      <c r="E88" s="101">
        <f t="shared" si="19"/>
        <v>0</v>
      </c>
      <c r="F88" s="101">
        <f t="shared" si="19"/>
        <v>0</v>
      </c>
      <c r="G88" s="101">
        <f t="shared" si="19"/>
        <v>0</v>
      </c>
      <c r="H88" s="101">
        <f t="shared" si="19"/>
        <v>0</v>
      </c>
      <c r="I88" s="55"/>
    </row>
    <row r="89" spans="1:9" ht="12.75" customHeight="1">
      <c r="A89" s="158" t="s">
        <v>178</v>
      </c>
      <c r="B89" s="75"/>
      <c r="C89" s="75"/>
      <c r="D89" s="75"/>
      <c r="E89" s="101">
        <f>D89*(1+Parâmetros!B14)</f>
        <v>0</v>
      </c>
      <c r="F89" s="101">
        <f>E89*(1+Parâmetros!C14)</f>
        <v>0</v>
      </c>
      <c r="G89" s="101">
        <f>F89*(1+Parâmetros!D14)</f>
        <v>0</v>
      </c>
      <c r="H89" s="101">
        <f>G89*(1+Parâmetros!E14)</f>
        <v>0</v>
      </c>
      <c r="I89" s="52"/>
    </row>
    <row r="90" spans="1:9" ht="12.75" customHeight="1">
      <c r="A90" s="158" t="s">
        <v>180</v>
      </c>
      <c r="B90" s="102">
        <f>SUM(B91:B96)</f>
        <v>0</v>
      </c>
      <c r="C90" s="102">
        <f aca="true" t="shared" si="20" ref="C90:H90">SUM(C91:C96)</f>
        <v>0</v>
      </c>
      <c r="D90" s="102">
        <f t="shared" si="20"/>
        <v>0</v>
      </c>
      <c r="E90" s="102">
        <f t="shared" si="20"/>
        <v>0</v>
      </c>
      <c r="F90" s="102">
        <f t="shared" si="20"/>
        <v>0</v>
      </c>
      <c r="G90" s="102">
        <f t="shared" si="20"/>
        <v>0</v>
      </c>
      <c r="H90" s="102">
        <f t="shared" si="20"/>
        <v>0</v>
      </c>
      <c r="I90" s="52"/>
    </row>
    <row r="91" spans="1:9" ht="12.75" customHeight="1">
      <c r="A91" s="191" t="s">
        <v>136</v>
      </c>
      <c r="B91" s="75"/>
      <c r="C91" s="95"/>
      <c r="D91" s="95"/>
      <c r="E91" s="106">
        <f>D91*(1+Parâmetros!B14)</f>
        <v>0</v>
      </c>
      <c r="F91" s="106">
        <f>E91*(1+Parâmetros!C14)</f>
        <v>0</v>
      </c>
      <c r="G91" s="106">
        <f>F91*(1+Parâmetros!D14)</f>
        <v>0</v>
      </c>
      <c r="H91" s="106">
        <f>G91*(1+Parâmetros!E14)</f>
        <v>0</v>
      </c>
      <c r="I91" s="52"/>
    </row>
    <row r="92" spans="1:9" ht="12.75" customHeight="1">
      <c r="A92" s="191" t="s">
        <v>124</v>
      </c>
      <c r="B92" s="75"/>
      <c r="C92" s="95"/>
      <c r="D92" s="95"/>
      <c r="E92" s="106">
        <f>D92*(1+Parâmetros!B14)</f>
        <v>0</v>
      </c>
      <c r="F92" s="106">
        <f>E92*(1+Parâmetros!C14)</f>
        <v>0</v>
      </c>
      <c r="G92" s="106">
        <f>F92*(1+Parâmetros!D14)</f>
        <v>0</v>
      </c>
      <c r="H92" s="106">
        <f>G92*(1+Parâmetros!E14)</f>
        <v>0</v>
      </c>
      <c r="I92" s="52"/>
    </row>
    <row r="93" spans="1:9" ht="12.75" customHeight="1">
      <c r="A93" s="191" t="s">
        <v>123</v>
      </c>
      <c r="B93" s="75"/>
      <c r="C93" s="75"/>
      <c r="D93" s="75"/>
      <c r="E93" s="102">
        <f>D93*(1+Parâmetros!B14)</f>
        <v>0</v>
      </c>
      <c r="F93" s="102">
        <f>E93*(1+Parâmetros!C14)</f>
        <v>0</v>
      </c>
      <c r="G93" s="102">
        <f>F93*(1+Parâmetros!D14)</f>
        <v>0</v>
      </c>
      <c r="H93" s="102">
        <f>G93*(1+Parâmetros!E14)</f>
        <v>0</v>
      </c>
      <c r="I93" s="52"/>
    </row>
    <row r="94" spans="1:9" ht="12.75" customHeight="1">
      <c r="A94" s="191" t="s">
        <v>194</v>
      </c>
      <c r="B94" s="75"/>
      <c r="C94" s="75"/>
      <c r="D94" s="75"/>
      <c r="E94" s="102">
        <f>D94*(1+Parâmetros!B14)</f>
        <v>0</v>
      </c>
      <c r="F94" s="102">
        <f>E94*(1+Parâmetros!C14)</f>
        <v>0</v>
      </c>
      <c r="G94" s="102">
        <f>F94*(1+Parâmetros!D14)</f>
        <v>0</v>
      </c>
      <c r="H94" s="102">
        <f>G94*(1+Parâmetros!E14)</f>
        <v>0</v>
      </c>
      <c r="I94" s="52"/>
    </row>
    <row r="95" spans="1:9" ht="12.75" customHeight="1">
      <c r="A95" s="191" t="s">
        <v>126</v>
      </c>
      <c r="B95" s="75"/>
      <c r="C95" s="75"/>
      <c r="D95" s="75"/>
      <c r="E95" s="102">
        <f>D95*(1+Parâmetros!B14)</f>
        <v>0</v>
      </c>
      <c r="F95" s="102">
        <f>E95*(1+Parâmetros!C14)</f>
        <v>0</v>
      </c>
      <c r="G95" s="102">
        <f>F95*(1+Parâmetros!D14)</f>
        <v>0</v>
      </c>
      <c r="H95" s="102">
        <f>G95*(1+Parâmetros!E14)</f>
        <v>0</v>
      </c>
      <c r="I95" s="52"/>
    </row>
    <row r="96" spans="1:9" ht="12.75" customHeight="1">
      <c r="A96" s="191" t="s">
        <v>127</v>
      </c>
      <c r="B96" s="75"/>
      <c r="C96" s="75"/>
      <c r="D96" s="75"/>
      <c r="E96" s="102">
        <f>D96*(1+Parâmetros!B14)</f>
        <v>0</v>
      </c>
      <c r="F96" s="102">
        <f>E96*(1+Parâmetros!C14)</f>
        <v>0</v>
      </c>
      <c r="G96" s="102">
        <f>F96*(1+Parâmetros!D14)</f>
        <v>0</v>
      </c>
      <c r="H96" s="102">
        <f>G96*(1+Parâmetros!E14)</f>
        <v>0</v>
      </c>
      <c r="I96" s="52"/>
    </row>
    <row r="97" spans="1:9" ht="12.75" customHeight="1">
      <c r="A97" s="197" t="s">
        <v>59</v>
      </c>
      <c r="B97" s="75"/>
      <c r="C97" s="75"/>
      <c r="D97" s="75"/>
      <c r="E97" s="101">
        <f>D97*(1+Parâmetros!B14)</f>
        <v>0</v>
      </c>
      <c r="F97" s="101">
        <f>E97*(1+Parâmetros!C14)</f>
        <v>0</v>
      </c>
      <c r="G97" s="101">
        <f>F97*(1+Parâmetros!D14)</f>
        <v>0</v>
      </c>
      <c r="H97" s="101">
        <f>G97*(1+Parâmetros!E14)</f>
        <v>0</v>
      </c>
      <c r="I97" s="52"/>
    </row>
    <row r="98" spans="1:9" s="50" customFormat="1" ht="12.75" customHeight="1">
      <c r="A98" s="197" t="s">
        <v>247</v>
      </c>
      <c r="B98" s="76"/>
      <c r="C98" s="76"/>
      <c r="D98" s="76"/>
      <c r="E98" s="101">
        <f>D98*(1+Parâmetros!B14)</f>
        <v>0</v>
      </c>
      <c r="F98" s="101">
        <f>E98*(1+Parâmetros!C14)</f>
        <v>0</v>
      </c>
      <c r="G98" s="101">
        <f>F98*(1+Parâmetros!D14)</f>
        <v>0</v>
      </c>
      <c r="H98" s="198">
        <f>G98*(1+Parâmetros!E14)</f>
        <v>0</v>
      </c>
      <c r="I98" s="55"/>
    </row>
    <row r="101" spans="2:3" ht="24" customHeight="1">
      <c r="B101" s="62"/>
      <c r="C101" s="62"/>
    </row>
    <row r="102" spans="2:3" ht="24" customHeight="1">
      <c r="B102" s="62"/>
      <c r="C102" s="62"/>
    </row>
    <row r="103" spans="2:3" ht="24" customHeight="1">
      <c r="B103" s="62"/>
      <c r="C103" s="62"/>
    </row>
    <row r="104" spans="2:3" ht="24" customHeight="1">
      <c r="B104" s="62"/>
      <c r="C104" s="62"/>
    </row>
    <row r="105" spans="2:3" ht="24" customHeight="1">
      <c r="B105" s="62"/>
      <c r="C105" s="62"/>
    </row>
  </sheetData>
  <sheetProtection/>
  <mergeCells count="3">
    <mergeCell ref="A1:H1"/>
    <mergeCell ref="A2:H2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47" r:id="rId1"/>
  <headerFooter alignWithMargins="0">
    <oddHeader>&amp;L&amp;D, &amp;T&amp;CPág.&amp;P/&amp;N&amp;R&amp;F -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I17"/>
  <sheetViews>
    <sheetView showGridLines="0" view="pageBreakPreview" zoomScaleNormal="7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7.8515625" defaultRowHeight="24" customHeight="1"/>
  <cols>
    <col min="1" max="1" width="53.8515625" style="51" bestFit="1" customWidth="1"/>
    <col min="2" max="7" width="14.7109375" style="51" customWidth="1"/>
    <col min="8" max="8" width="14.7109375" style="68" customWidth="1"/>
    <col min="9" max="9" width="14.7109375" style="51" customWidth="1"/>
    <col min="10" max="16384" width="7.8515625" style="51" customWidth="1"/>
  </cols>
  <sheetData>
    <row r="1" spans="1:8" s="72" customFormat="1" ht="12.75" customHeight="1">
      <c r="A1" s="298" t="str">
        <f>+Tab01!A1</f>
        <v>MUNICÍPIO DE:  </v>
      </c>
      <c r="B1" s="299"/>
      <c r="C1" s="299"/>
      <c r="D1" s="299"/>
      <c r="E1" s="299"/>
      <c r="F1" s="299"/>
      <c r="G1" s="299"/>
      <c r="H1" s="299"/>
    </row>
    <row r="2" spans="1:8" s="72" customFormat="1" ht="12.75" customHeight="1">
      <c r="A2" s="296" t="s">
        <v>179</v>
      </c>
      <c r="B2" s="299"/>
      <c r="C2" s="299"/>
      <c r="D2" s="299"/>
      <c r="E2" s="299"/>
      <c r="F2" s="299"/>
      <c r="G2" s="299"/>
      <c r="H2" s="299"/>
    </row>
    <row r="3" spans="1:8" s="50" customFormat="1" ht="12.75" customHeight="1">
      <c r="A3" s="298" t="s">
        <v>258</v>
      </c>
      <c r="B3" s="298"/>
      <c r="C3" s="298"/>
      <c r="D3" s="298"/>
      <c r="E3" s="298"/>
      <c r="F3" s="298"/>
      <c r="G3" s="298"/>
      <c r="H3" s="298"/>
    </row>
    <row r="4" spans="1:8" ht="12.75" customHeight="1">
      <c r="A4" s="199"/>
      <c r="B4" s="199"/>
      <c r="C4" s="199"/>
      <c r="D4" s="199"/>
      <c r="E4" s="199"/>
      <c r="F4" s="199"/>
      <c r="G4" s="199"/>
      <c r="H4" s="200"/>
    </row>
    <row r="5" spans="1:8" ht="12.75" customHeight="1">
      <c r="A5" s="201" t="s">
        <v>35</v>
      </c>
      <c r="B5" s="202">
        <f>+Tab01!B5</f>
        <v>2015</v>
      </c>
      <c r="C5" s="202">
        <f>+Tab01!C5</f>
        <v>2016</v>
      </c>
      <c r="D5" s="202">
        <f>+Tab01!D5</f>
        <v>2017</v>
      </c>
      <c r="E5" s="202">
        <f>+Tab01!E5</f>
        <v>2018</v>
      </c>
      <c r="F5" s="203">
        <f>+Tab01!F5</f>
        <v>2019</v>
      </c>
      <c r="G5" s="203">
        <f>+Tab01!G5</f>
        <v>2020</v>
      </c>
      <c r="H5" s="203">
        <f>+Tab01!H5</f>
        <v>2021</v>
      </c>
    </row>
    <row r="6" spans="1:9" ht="12.75" customHeight="1">
      <c r="A6" s="204" t="s">
        <v>204</v>
      </c>
      <c r="B6" s="205">
        <f>Tab01!B9+Tab01!B20+Tab01!B25+Tab01!B36+Tab01!B37+Tab01!B38+Tab01!B41+Tab01!B75</f>
        <v>20015226.959999997</v>
      </c>
      <c r="C6" s="205">
        <f>Tab01!C9+Tab01!C20+Tab01!C25+Tab01!C36+Tab01!C37+Tab01!C38+Tab01!C41+Tab01!C75</f>
        <v>21704738.29</v>
      </c>
      <c r="D6" s="205">
        <f>Tab01!D9+Tab01!D20+Tab01!D25+Tab01!D36+Tab01!D37+Tab01!D38+Tab01!D41+Tab01!D75</f>
        <v>22585635.14</v>
      </c>
      <c r="E6" s="205">
        <f>Tab01!E9+Tab01!E20+Tab01!E25+Tab01!E36+Tab01!E37+Tab01!E38+Tab01!E41+Tab01!E75</f>
        <v>25555278.58598212</v>
      </c>
      <c r="F6" s="205">
        <f>Tab01!F9+Tab01!F20+Tab01!F25+Tab01!F36+Tab01!F37+Tab01!F38+Tab01!F41+Tab01!F75</f>
        <v>28508647.87730087</v>
      </c>
      <c r="G6" s="205">
        <f>Tab01!G9+Tab01!G20+Tab01!G25+Tab01!G36+Tab01!G37+Tab01!G38+Tab01!G41+Tab01!G75</f>
        <v>31805693.50738984</v>
      </c>
      <c r="H6" s="205">
        <f>Tab01!H9+Tab01!H20+Tab01!H25+Tab01!H36+Tab01!H37+Tab01!H38+Tab01!H41+Tab01!H75</f>
        <v>35486704.674898766</v>
      </c>
      <c r="I6" s="63"/>
    </row>
    <row r="7" spans="1:9" ht="12.75" customHeight="1">
      <c r="A7" s="206" t="s">
        <v>38</v>
      </c>
      <c r="B7" s="205">
        <f aca="true" t="shared" si="0" ref="B7:H7">SUM(B8:B12)</f>
        <v>-2513220.255261739</v>
      </c>
      <c r="C7" s="205">
        <f t="shared" si="0"/>
        <v>-2964093.044917086</v>
      </c>
      <c r="D7" s="205">
        <f t="shared" si="0"/>
        <v>-2970726.8400000003</v>
      </c>
      <c r="E7" s="205">
        <f t="shared" si="0"/>
        <v>-3372773.8662800007</v>
      </c>
      <c r="F7" s="205">
        <f t="shared" si="0"/>
        <v>-3774970.848786214</v>
      </c>
      <c r="G7" s="205">
        <f t="shared" si="0"/>
        <v>-4225047.5944829965</v>
      </c>
      <c r="H7" s="205">
        <f t="shared" si="0"/>
        <v>-4728696.125840361</v>
      </c>
      <c r="I7" s="64"/>
    </row>
    <row r="8" spans="1:9" ht="12.75" customHeight="1">
      <c r="A8" s="207" t="s">
        <v>196</v>
      </c>
      <c r="B8" s="104">
        <f>Tab01!B13+Tab01!B14</f>
        <v>126376.38</v>
      </c>
      <c r="C8" s="104">
        <f>Tab01!C13+Tab01!C14</f>
        <v>146540</v>
      </c>
      <c r="D8" s="104">
        <f>Tab01!D13+Tab01!D14</f>
        <v>159220.96</v>
      </c>
      <c r="E8" s="104">
        <f>Tab01!E13+Tab01!E14</f>
        <v>177212.92848</v>
      </c>
      <c r="F8" s="104">
        <f>Tab01!F13+Tab01!F14</f>
        <v>194446.88577468</v>
      </c>
      <c r="G8" s="104">
        <f>Tab01!G13+Tab01!G14</f>
        <v>213356.84541626764</v>
      </c>
      <c r="H8" s="104">
        <f>Tab01!H13+Tab01!H14</f>
        <v>234105.79863299965</v>
      </c>
      <c r="I8" s="64"/>
    </row>
    <row r="9" spans="1:9" ht="12.75" customHeight="1">
      <c r="A9" s="208" t="s">
        <v>114</v>
      </c>
      <c r="B9" s="104">
        <f>Tab01!B21</f>
        <v>0</v>
      </c>
      <c r="C9" s="104">
        <f>+Tab01!C21</f>
        <v>0</v>
      </c>
      <c r="D9" s="104">
        <f>+Tab01!D21</f>
        <v>0</v>
      </c>
      <c r="E9" s="104">
        <f>+Tab01!E21</f>
        <v>0</v>
      </c>
      <c r="F9" s="104">
        <f>+Tab01!F21</f>
        <v>0</v>
      </c>
      <c r="G9" s="104">
        <f>+Tab01!G21</f>
        <v>0</v>
      </c>
      <c r="H9" s="104">
        <f>+Tab01!H21</f>
        <v>0</v>
      </c>
      <c r="I9" s="64"/>
    </row>
    <row r="10" spans="1:9" ht="12.75" customHeight="1">
      <c r="A10" s="209" t="s">
        <v>39</v>
      </c>
      <c r="B10" s="104">
        <f>+Tab01!B22</f>
        <v>0</v>
      </c>
      <c r="C10" s="104">
        <f>+Tab01!C22</f>
        <v>0</v>
      </c>
      <c r="D10" s="104">
        <f>+Tab01!D22</f>
        <v>0</v>
      </c>
      <c r="E10" s="104">
        <f>+Tab01!E22</f>
        <v>0</v>
      </c>
      <c r="F10" s="104">
        <f>+Tab01!F22</f>
        <v>0</v>
      </c>
      <c r="G10" s="104">
        <f>+Tab01!G22</f>
        <v>0</v>
      </c>
      <c r="H10" s="104">
        <f>+Tab01!H22</f>
        <v>0</v>
      </c>
      <c r="I10" s="56"/>
    </row>
    <row r="11" spans="1:9" ht="12.75" customHeight="1">
      <c r="A11" s="209" t="s">
        <v>144</v>
      </c>
      <c r="B11" s="104">
        <f>Tab01!B32</f>
        <v>0</v>
      </c>
      <c r="C11" s="104">
        <f>Tab01!C32</f>
        <v>0</v>
      </c>
      <c r="D11" s="104">
        <f>Tab01!D32</f>
        <v>0</v>
      </c>
      <c r="E11" s="104">
        <f>Tab01!E32</f>
        <v>0</v>
      </c>
      <c r="F11" s="104">
        <f>Tab01!F32</f>
        <v>0</v>
      </c>
      <c r="G11" s="104">
        <f>Tab01!G32</f>
        <v>0</v>
      </c>
      <c r="H11" s="104">
        <f>Tab01!H32</f>
        <v>0</v>
      </c>
      <c r="I11" s="56"/>
    </row>
    <row r="12" spans="1:9" ht="12.75" customHeight="1">
      <c r="A12" s="208" t="s">
        <v>145</v>
      </c>
      <c r="B12" s="104">
        <f>Tab01!B81</f>
        <v>-2639596.6352617387</v>
      </c>
      <c r="C12" s="104">
        <f>Tab01!C81</f>
        <v>-3110633.044917086</v>
      </c>
      <c r="D12" s="104">
        <f>Tab01!D81</f>
        <v>-3129947.8000000003</v>
      </c>
      <c r="E12" s="104">
        <f>Tab01!E81</f>
        <v>-3549986.794760001</v>
      </c>
      <c r="F12" s="104">
        <f>Tab01!F81</f>
        <v>-3969417.734560894</v>
      </c>
      <c r="G12" s="104">
        <f>Tab01!G81</f>
        <v>-4438404.439899264</v>
      </c>
      <c r="H12" s="104">
        <f>Tab01!H81</f>
        <v>-4962801.924473361</v>
      </c>
      <c r="I12" s="66"/>
    </row>
    <row r="13" spans="1:9" ht="12.75" customHeight="1">
      <c r="A13" s="206" t="s">
        <v>195</v>
      </c>
      <c r="B13" s="225">
        <f>-(IF(Tab01!B66+Tab01!B82&gt;0,0,Tab01!B66+Tab01!B82))</f>
        <v>98454.93526173849</v>
      </c>
      <c r="C13" s="225">
        <f>-(IF(Tab01!C66+Tab01!C82&gt;0,0,Tab01!C66+Tab01!C82))</f>
        <v>409145.1049170862</v>
      </c>
      <c r="D13" s="225">
        <f>-(IF(Tab01!D66+Tab01!D82&gt;0,0,Tab01!D66+Tab01!D82))</f>
        <v>217407.80000000028</v>
      </c>
      <c r="E13" s="225">
        <f>-(IF(Tab01!E66+Tab01!E82&gt;0,0,Tab01!E66+Tab01!E82))</f>
        <v>246583.92676000018</v>
      </c>
      <c r="F13" s="225">
        <f>-(IF(Tab01!F66+Tab01!F82&gt;0,0,Tab01!F66+Tab01!F82))</f>
        <v>275717.81770669296</v>
      </c>
      <c r="G13" s="225">
        <f>-(IF(Tab01!G66+Tab01!G82&gt;0,0,Tab01!G66+Tab01!G82))</f>
        <v>308293.8778687394</v>
      </c>
      <c r="H13" s="225">
        <f>-(IF(Tab01!H66+Tab01!H82&gt;0,0,Tab01!H66+Tab01!H82))</f>
        <v>344718.79953892995</v>
      </c>
      <c r="I13" s="66"/>
    </row>
    <row r="14" spans="1:9" ht="12.75" customHeight="1">
      <c r="A14" s="204" t="s">
        <v>197</v>
      </c>
      <c r="B14" s="205">
        <f aca="true" t="shared" si="1" ref="B14:H14">+B6+B7+B13</f>
        <v>17600461.639999997</v>
      </c>
      <c r="C14" s="205">
        <f t="shared" si="1"/>
        <v>19149790.35</v>
      </c>
      <c r="D14" s="205">
        <f t="shared" si="1"/>
        <v>19832316.1</v>
      </c>
      <c r="E14" s="205">
        <f t="shared" si="1"/>
        <v>22429088.64646212</v>
      </c>
      <c r="F14" s="205">
        <f t="shared" si="1"/>
        <v>25009394.84622135</v>
      </c>
      <c r="G14" s="205">
        <f t="shared" si="1"/>
        <v>27888939.790775582</v>
      </c>
      <c r="H14" s="205">
        <f t="shared" si="1"/>
        <v>31102727.348597333</v>
      </c>
      <c r="I14" s="67"/>
    </row>
    <row r="15" spans="1:8" ht="12.75" customHeight="1">
      <c r="A15" s="73"/>
      <c r="B15" s="73"/>
      <c r="C15" s="73"/>
      <c r="D15" s="73"/>
      <c r="E15" s="73"/>
      <c r="F15" s="73"/>
      <c r="G15" s="73"/>
      <c r="H15" s="79"/>
    </row>
    <row r="16" ht="12.75" customHeight="1"/>
    <row r="17" ht="12.75" customHeight="1">
      <c r="A17" s="65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3">
    <mergeCell ref="A3:H3"/>
    <mergeCell ref="A1:H1"/>
    <mergeCell ref="A2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0" r:id="rId1"/>
  <headerFooter alignWithMargins="0">
    <oddHeader>&amp;L&amp;D, &amp;T&amp;CPág.&amp;P/&amp;N&amp;R&amp;F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H36"/>
  <sheetViews>
    <sheetView showGridLines="0" zoomScale="90" zoomScaleNormal="90" zoomScaleSheetLayoutView="100" zoomScalePageLayoutView="0" workbookViewId="0" topLeftCell="A1">
      <pane ySplit="6" topLeftCell="A16" activePane="bottomLeft" state="frozen"/>
      <selection pane="topLeft" activeCell="A1" sqref="A1"/>
      <selection pane="bottomLeft" activeCell="B43" sqref="B43"/>
    </sheetView>
  </sheetViews>
  <sheetFormatPr defaultColWidth="9.140625" defaultRowHeight="24" customHeight="1"/>
  <cols>
    <col min="1" max="1" width="80.421875" style="51" customWidth="1"/>
    <col min="2" max="2" width="17.7109375" style="51" customWidth="1"/>
    <col min="3" max="3" width="16.28125" style="51" customWidth="1"/>
    <col min="4" max="4" width="16.140625" style="51" customWidth="1"/>
    <col min="5" max="5" width="17.8515625" style="51" customWidth="1"/>
    <col min="6" max="6" width="16.140625" style="51" customWidth="1"/>
    <col min="7" max="7" width="18.421875" style="61" customWidth="1"/>
    <col min="8" max="8" width="16.140625" style="51" customWidth="1"/>
    <col min="9" max="16384" width="9.140625" style="51" customWidth="1"/>
  </cols>
  <sheetData>
    <row r="1" spans="1:8" s="72" customFormat="1" ht="12.75" customHeight="1">
      <c r="A1" s="301" t="str">
        <f>+Tab01!A1</f>
        <v>MUNICÍPIO DE:  </v>
      </c>
      <c r="B1" s="299"/>
      <c r="C1" s="299"/>
      <c r="D1" s="299"/>
      <c r="E1" s="299"/>
      <c r="F1" s="299"/>
      <c r="G1" s="299"/>
      <c r="H1" s="299"/>
    </row>
    <row r="2" spans="1:8" s="72" customFormat="1" ht="12.75" customHeight="1">
      <c r="A2" s="296" t="s">
        <v>179</v>
      </c>
      <c r="B2" s="299"/>
      <c r="C2" s="299"/>
      <c r="D2" s="299"/>
      <c r="E2" s="299"/>
      <c r="F2" s="299"/>
      <c r="G2" s="299"/>
      <c r="H2" s="299"/>
    </row>
    <row r="3" spans="1:8" ht="12.75" customHeight="1">
      <c r="A3" s="302" t="s">
        <v>259</v>
      </c>
      <c r="B3" s="303"/>
      <c r="C3" s="303"/>
      <c r="D3" s="303"/>
      <c r="E3" s="303"/>
      <c r="F3" s="303"/>
      <c r="G3" s="303"/>
      <c r="H3" s="303"/>
    </row>
    <row r="4" spans="1:8" ht="12.75" customHeight="1">
      <c r="A4" s="105"/>
      <c r="B4" s="105"/>
      <c r="C4" s="105"/>
      <c r="D4" s="105"/>
      <c r="E4" s="105"/>
      <c r="F4" s="105"/>
      <c r="G4" s="102"/>
      <c r="H4" s="108"/>
    </row>
    <row r="5" spans="1:8" ht="12.75" customHeight="1">
      <c r="A5" s="109" t="s">
        <v>1</v>
      </c>
      <c r="B5" s="109"/>
      <c r="C5" s="300" t="s">
        <v>2</v>
      </c>
      <c r="D5" s="300"/>
      <c r="E5" s="300"/>
      <c r="F5" s="300"/>
      <c r="G5" s="300"/>
      <c r="H5" s="300"/>
    </row>
    <row r="6" spans="1:8" ht="12.75" customHeight="1">
      <c r="A6" s="110" t="s">
        <v>3</v>
      </c>
      <c r="B6" s="111">
        <f>Tab01!B5</f>
        <v>2015</v>
      </c>
      <c r="C6" s="111">
        <f>Tab01!C5</f>
        <v>2016</v>
      </c>
      <c r="D6" s="111">
        <f>Tab01!D5</f>
        <v>2017</v>
      </c>
      <c r="E6" s="111">
        <f>Tab01!E5</f>
        <v>2018</v>
      </c>
      <c r="F6" s="111">
        <f>Tab01!F5</f>
        <v>2019</v>
      </c>
      <c r="G6" s="111">
        <f>Tab01!G5</f>
        <v>2020</v>
      </c>
      <c r="H6" s="111">
        <f>Tab01!H5</f>
        <v>2021</v>
      </c>
    </row>
    <row r="7" spans="1:8" ht="12.75" customHeight="1">
      <c r="A7" s="112" t="s">
        <v>4</v>
      </c>
      <c r="B7" s="113">
        <f>SUM(B8:B12)</f>
        <v>1006804.53</v>
      </c>
      <c r="C7" s="113">
        <f aca="true" t="shared" si="0" ref="C7:H7">SUM(C8:C12)</f>
        <v>730190.21</v>
      </c>
      <c r="D7" s="113">
        <f t="shared" si="0"/>
        <v>856612.8</v>
      </c>
      <c r="E7" s="113">
        <f t="shared" si="0"/>
        <v>953410.0464000001</v>
      </c>
      <c r="F7" s="113">
        <f t="shared" si="0"/>
        <v>1046129.1734124</v>
      </c>
      <c r="G7" s="113">
        <f t="shared" si="0"/>
        <v>1147865.235526756</v>
      </c>
      <c r="H7" s="113">
        <f t="shared" si="0"/>
        <v>1259495.129681733</v>
      </c>
    </row>
    <row r="8" spans="1:8" ht="12.75" customHeight="1">
      <c r="A8" s="114" t="s">
        <v>9</v>
      </c>
      <c r="B8" s="115">
        <f>Tab01!B11</f>
        <v>54611.3</v>
      </c>
      <c r="C8" s="115">
        <f>+Tab01!C11</f>
        <v>62542.95</v>
      </c>
      <c r="D8" s="115">
        <f>+Tab01!D11</f>
        <v>69616.66</v>
      </c>
      <c r="E8" s="115">
        <f>+Tab01!E11</f>
        <v>77483.34258000001</v>
      </c>
      <c r="F8" s="115">
        <f>+Tab01!F11</f>
        <v>85018.59764590501</v>
      </c>
      <c r="G8" s="115">
        <f>+Tab01!G11</f>
        <v>93286.65626696928</v>
      </c>
      <c r="H8" s="115">
        <f>+Tab01!H11</f>
        <v>102358.78358893204</v>
      </c>
    </row>
    <row r="9" spans="1:8" ht="12.75" customHeight="1">
      <c r="A9" s="116" t="s">
        <v>93</v>
      </c>
      <c r="B9" s="117">
        <f>Tab01!B12</f>
        <v>222619.81</v>
      </c>
      <c r="C9" s="117">
        <f>+Tab01!C12</f>
        <v>240508.57</v>
      </c>
      <c r="D9" s="117">
        <f>+Tab01!D12</f>
        <v>255474.21</v>
      </c>
      <c r="E9" s="117">
        <f>+Tab01!E12</f>
        <v>284342.79573</v>
      </c>
      <c r="F9" s="117">
        <f>+Tab01!F12</f>
        <v>311995.1326147425</v>
      </c>
      <c r="G9" s="117">
        <f>+Tab01!G12</f>
        <v>342336.6592615262</v>
      </c>
      <c r="H9" s="117">
        <f>+Tab01!H12</f>
        <v>375628.89937470964</v>
      </c>
    </row>
    <row r="10" spans="1:8" ht="12.75" customHeight="1">
      <c r="A10" s="114" t="s">
        <v>10</v>
      </c>
      <c r="B10" s="115">
        <f>+Tab01!B16</f>
        <v>424527</v>
      </c>
      <c r="C10" s="115">
        <f>+Tab01!C16</f>
        <v>230558.48</v>
      </c>
      <c r="D10" s="115">
        <f>+Tab01!D16</f>
        <v>151834.57</v>
      </c>
      <c r="E10" s="115">
        <f>+Tab01!E16</f>
        <v>168991.87641000003</v>
      </c>
      <c r="F10" s="115">
        <f>+Tab01!F16</f>
        <v>185426.33639087252</v>
      </c>
      <c r="G10" s="115">
        <f>+Tab01!G16</f>
        <v>203459.04760488486</v>
      </c>
      <c r="H10" s="115">
        <f>+Tab01!H16</f>
        <v>223245.43998445992</v>
      </c>
    </row>
    <row r="11" spans="1:8" ht="12.75" customHeight="1">
      <c r="A11" s="114" t="s">
        <v>11</v>
      </c>
      <c r="B11" s="115">
        <f>+Tab01!B17</f>
        <v>197666.41</v>
      </c>
      <c r="C11" s="115">
        <f>+Tab01!C17</f>
        <v>92382.26</v>
      </c>
      <c r="D11" s="115">
        <f>+Tab01!D17</f>
        <v>251907.84</v>
      </c>
      <c r="E11" s="115">
        <f>+Tab01!E17</f>
        <v>280373.42592</v>
      </c>
      <c r="F11" s="115">
        <f>+Tab01!F17</f>
        <v>307639.74159072</v>
      </c>
      <c r="G11" s="115">
        <f>+Tab01!G17</f>
        <v>337557.70646041754</v>
      </c>
      <c r="H11" s="115">
        <f>+Tab01!H17</f>
        <v>370385.19341369317</v>
      </c>
    </row>
    <row r="12" spans="1:8" ht="12.75" customHeight="1">
      <c r="A12" s="114" t="s">
        <v>174</v>
      </c>
      <c r="B12" s="115">
        <f>+Tab01!B76+Tab01!B78</f>
        <v>107380.01000000001</v>
      </c>
      <c r="C12" s="115">
        <f>+Tab01!C76+Tab01!C78</f>
        <v>104197.95</v>
      </c>
      <c r="D12" s="115">
        <f>+Tab01!D76+Tab01!D78</f>
        <v>127779.52</v>
      </c>
      <c r="E12" s="115">
        <f>+Tab01!E76+Tab01!E78</f>
        <v>142218.60576</v>
      </c>
      <c r="F12" s="115">
        <f>+Tab01!F76+Tab01!F78</f>
        <v>156049.36517016</v>
      </c>
      <c r="G12" s="115">
        <f>+Tab01!G76+Tab01!G78</f>
        <v>171225.16593295804</v>
      </c>
      <c r="H12" s="115">
        <f>+Tab01!H76+Tab01!H78</f>
        <v>187876.81331993823</v>
      </c>
    </row>
    <row r="13" spans="1:8" ht="12.75" customHeight="1">
      <c r="A13" s="112" t="s">
        <v>5</v>
      </c>
      <c r="B13" s="113">
        <f aca="true" t="shared" si="1" ref="B13:H13">SUM(B14:B16)</f>
        <v>6067465.719999999</v>
      </c>
      <c r="C13" s="113">
        <f t="shared" si="1"/>
        <v>6928068.989999999</v>
      </c>
      <c r="D13" s="113">
        <f t="shared" si="1"/>
        <v>7044559</v>
      </c>
      <c r="E13" s="113">
        <f t="shared" si="1"/>
        <v>7989938.8178</v>
      </c>
      <c r="F13" s="113">
        <f t="shared" si="1"/>
        <v>8933950.08912307</v>
      </c>
      <c r="G13" s="113">
        <f t="shared" si="1"/>
        <v>9989496.29215296</v>
      </c>
      <c r="H13" s="113">
        <f t="shared" si="1"/>
        <v>11169755.279070832</v>
      </c>
    </row>
    <row r="14" spans="1:8" ht="12.75" customHeight="1">
      <c r="A14" s="119" t="s">
        <v>15</v>
      </c>
      <c r="B14" s="115">
        <f>+Tab01!B55</f>
        <v>5843221.27</v>
      </c>
      <c r="C14" s="115">
        <f>+Tab01!C55</f>
        <v>6715406.5</v>
      </c>
      <c r="D14" s="115">
        <f>+Tab01!D55</f>
        <v>6757050</v>
      </c>
      <c r="E14" s="115">
        <f>+Tab01!E55</f>
        <v>7663846.11</v>
      </c>
      <c r="F14" s="115">
        <f>+Tab01!F55</f>
        <v>8569329.5278965</v>
      </c>
      <c r="G14" s="115">
        <f>+Tab01!G55</f>
        <v>9581795.81161747</v>
      </c>
      <c r="H14" s="115">
        <f>+Tab01!H55</f>
        <v>10713884.986760074</v>
      </c>
    </row>
    <row r="15" spans="1:8" ht="12.75" customHeight="1">
      <c r="A15" s="119" t="s">
        <v>17</v>
      </c>
      <c r="B15" s="115">
        <f>+Tab01!B56</f>
        <v>114752.18</v>
      </c>
      <c r="C15" s="115">
        <f>+Tab01!C56</f>
        <v>135194.6</v>
      </c>
      <c r="D15" s="115">
        <f>+Tab01!D56</f>
        <v>164031</v>
      </c>
      <c r="E15" s="115">
        <f>+Tab01!E56</f>
        <v>186043.96020000003</v>
      </c>
      <c r="F15" s="115">
        <f>+Tab01!F56</f>
        <v>208025.05409763003</v>
      </c>
      <c r="G15" s="115">
        <f>+Tab01!G56</f>
        <v>232603.214239265</v>
      </c>
      <c r="H15" s="115">
        <f>+Tab01!H56</f>
        <v>260085.28400163417</v>
      </c>
    </row>
    <row r="16" spans="1:8" ht="12.75" customHeight="1">
      <c r="A16" s="118" t="s">
        <v>19</v>
      </c>
      <c r="B16" s="115">
        <f>Tab01!B57</f>
        <v>109492.27</v>
      </c>
      <c r="C16" s="115">
        <f>Tab01!C57</f>
        <v>77467.89</v>
      </c>
      <c r="D16" s="115">
        <f>Tab01!D57</f>
        <v>123478</v>
      </c>
      <c r="E16" s="115">
        <f>Tab01!E57</f>
        <v>140048.7476</v>
      </c>
      <c r="F16" s="115">
        <f>Tab01!F57</f>
        <v>156595.50712894002</v>
      </c>
      <c r="G16" s="115">
        <f>Tab01!G57</f>
        <v>175097.2662962243</v>
      </c>
      <c r="H16" s="115">
        <f>Tab01!H57</f>
        <v>195785.0083091232</v>
      </c>
    </row>
    <row r="17" spans="1:8" ht="12.75" customHeight="1">
      <c r="A17" s="112" t="s">
        <v>7</v>
      </c>
      <c r="B17" s="113">
        <f aca="true" t="shared" si="2" ref="B17:H17">SUM(B18:B21)</f>
        <v>7484306.109999999</v>
      </c>
      <c r="C17" s="113">
        <f t="shared" si="2"/>
        <v>8306246.58</v>
      </c>
      <c r="D17" s="113">
        <f t="shared" si="2"/>
        <v>8837338.64</v>
      </c>
      <c r="E17" s="113">
        <f t="shared" si="2"/>
        <v>10023309.485488001</v>
      </c>
      <c r="F17" s="113">
        <f t="shared" si="2"/>
        <v>11207563.501198407</v>
      </c>
      <c r="G17" s="113">
        <f t="shared" si="2"/>
        <v>12531737.128865</v>
      </c>
      <c r="H17" s="113">
        <f t="shared" si="2"/>
        <v>14012361.870640397</v>
      </c>
    </row>
    <row r="18" spans="1:8" ht="12.75" customHeight="1">
      <c r="A18" s="119" t="s">
        <v>18</v>
      </c>
      <c r="B18" s="120">
        <f>+Tab01!B44</f>
        <v>6707087.39</v>
      </c>
      <c r="C18" s="120">
        <f>+Tab01!C44</f>
        <v>7496227.89</v>
      </c>
      <c r="D18" s="120">
        <f>+Tab01!D44</f>
        <v>8207522.43</v>
      </c>
      <c r="E18" s="120">
        <f>+Tab01!E44</f>
        <v>9308971.940106</v>
      </c>
      <c r="F18" s="120">
        <f>+Tab01!F44</f>
        <v>10408826.974829525</v>
      </c>
      <c r="G18" s="120">
        <f>+Tab01!G44</f>
        <v>11638629.881905632</v>
      </c>
      <c r="H18" s="120">
        <f>+Tab01!H44</f>
        <v>13013734.002452781</v>
      </c>
    </row>
    <row r="19" spans="1:8" ht="12.75" customHeight="1">
      <c r="A19" s="223" t="s">
        <v>199</v>
      </c>
      <c r="B19" s="120">
        <f>+Tab01!B45</f>
        <v>0</v>
      </c>
      <c r="C19" s="120">
        <f>+Tab01!C45</f>
        <v>0</v>
      </c>
      <c r="D19" s="120">
        <f>+Tab01!D45</f>
        <v>232158.64</v>
      </c>
      <c r="E19" s="120">
        <f>+Tab01!E45</f>
        <v>263314.329488</v>
      </c>
      <c r="F19" s="120">
        <f>+Tab01!F45</f>
        <v>294424.9175170072</v>
      </c>
      <c r="G19" s="120">
        <f>+Tab01!G45</f>
        <v>329211.2215216416</v>
      </c>
      <c r="H19" s="120">
        <f>+Tab01!H45</f>
        <v>368107.5273444236</v>
      </c>
    </row>
    <row r="20" spans="1:8" ht="12.75" customHeight="1">
      <c r="A20" s="119" t="s">
        <v>14</v>
      </c>
      <c r="B20" s="120">
        <f>+Tab01!B46</f>
        <v>735225.81</v>
      </c>
      <c r="C20" s="120">
        <f>+Tab01!C46</f>
        <v>766414.27</v>
      </c>
      <c r="D20" s="120">
        <f>+Tab01!D46</f>
        <v>350191.07</v>
      </c>
      <c r="E20" s="120">
        <f>+Tab01!E46</f>
        <v>397186.71159400005</v>
      </c>
      <c r="F20" s="120">
        <f>+Tab01!F46</f>
        <v>444114.32156883116</v>
      </c>
      <c r="G20" s="120">
        <f>+Tab01!G46</f>
        <v>496586.4286621886</v>
      </c>
      <c r="H20" s="120">
        <f>+Tab01!H46</f>
        <v>555258.1152086261</v>
      </c>
    </row>
    <row r="21" spans="1:8" ht="12.75" customHeight="1">
      <c r="A21" s="119" t="s">
        <v>112</v>
      </c>
      <c r="B21" s="120">
        <f>Tab01!B51</f>
        <v>41992.91</v>
      </c>
      <c r="C21" s="120">
        <f>Tab01!C51</f>
        <v>43604.42</v>
      </c>
      <c r="D21" s="120">
        <f>Tab01!D51</f>
        <v>47466.5</v>
      </c>
      <c r="E21" s="120">
        <f>Tab01!E51</f>
        <v>53836.50430000001</v>
      </c>
      <c r="F21" s="120">
        <f>Tab01!F51</f>
        <v>60197.28728304501</v>
      </c>
      <c r="G21" s="120">
        <f>Tab01!G51</f>
        <v>67309.59677553677</v>
      </c>
      <c r="H21" s="120">
        <f>Tab01!H51</f>
        <v>75262.22563456644</v>
      </c>
    </row>
    <row r="22" spans="1:8" ht="12.75" customHeight="1">
      <c r="A22" s="121" t="s">
        <v>160</v>
      </c>
      <c r="B22" s="122">
        <f aca="true" t="shared" si="3" ref="B22:H22">B7+B13+B17</f>
        <v>14558576.36</v>
      </c>
      <c r="C22" s="122">
        <f t="shared" si="3"/>
        <v>15964505.78</v>
      </c>
      <c r="D22" s="122">
        <f t="shared" si="3"/>
        <v>16738510.440000001</v>
      </c>
      <c r="E22" s="122">
        <f t="shared" si="3"/>
        <v>18966658.349688</v>
      </c>
      <c r="F22" s="122">
        <f t="shared" si="3"/>
        <v>21187642.76373388</v>
      </c>
      <c r="G22" s="122">
        <f t="shared" si="3"/>
        <v>23669098.656544715</v>
      </c>
      <c r="H22" s="122">
        <f t="shared" si="3"/>
        <v>26441612.27939296</v>
      </c>
    </row>
    <row r="23" spans="1:8" ht="12.75" customHeight="1">
      <c r="A23" s="121"/>
      <c r="B23" s="122"/>
      <c r="C23" s="122"/>
      <c r="D23" s="122"/>
      <c r="E23" s="122"/>
      <c r="F23" s="122"/>
      <c r="G23" s="122"/>
      <c r="H23" s="122"/>
    </row>
    <row r="24" spans="1:8" ht="12.75" customHeight="1">
      <c r="A24" s="129" t="s">
        <v>210</v>
      </c>
      <c r="B24" s="122">
        <f aca="true" t="shared" si="4" ref="B24:H24">B22*25%</f>
        <v>3639644.09</v>
      </c>
      <c r="C24" s="122">
        <f t="shared" si="4"/>
        <v>3991126.445</v>
      </c>
      <c r="D24" s="122">
        <f t="shared" si="4"/>
        <v>4184627.6100000003</v>
      </c>
      <c r="E24" s="122">
        <f t="shared" si="4"/>
        <v>4741664.587422</v>
      </c>
      <c r="F24" s="122">
        <f t="shared" si="4"/>
        <v>5296910.69093347</v>
      </c>
      <c r="G24" s="122">
        <f t="shared" si="4"/>
        <v>5917274.664136179</v>
      </c>
      <c r="H24" s="122">
        <f t="shared" si="4"/>
        <v>6610403.06984824</v>
      </c>
    </row>
    <row r="25" spans="1:8" ht="12.75" customHeight="1">
      <c r="A25" s="121"/>
      <c r="B25" s="122"/>
      <c r="C25" s="122"/>
      <c r="D25" s="122"/>
      <c r="E25" s="122"/>
      <c r="F25" s="122"/>
      <c r="G25" s="122"/>
      <c r="H25" s="122"/>
    </row>
    <row r="26" spans="1:8" ht="12.75" customHeight="1">
      <c r="A26" s="112" t="s">
        <v>206</v>
      </c>
      <c r="B26" s="122">
        <f>Tab01!B27+Tab01!B66</f>
        <v>2545475.3400000003</v>
      </c>
      <c r="C26" s="122">
        <f>Tab01!C27+Tab01!C66</f>
        <v>2705095.17</v>
      </c>
      <c r="D26" s="122">
        <f>Tab01!D27+Tab01!D66</f>
        <v>2917430.88</v>
      </c>
      <c r="E26" s="122">
        <f>Tab01!E27+Tab01!E66</f>
        <v>3308717.3275532806</v>
      </c>
      <c r="F26" s="122">
        <f>Tab01!F27+Tab01!F66</f>
        <v>3699397.365592418</v>
      </c>
      <c r="G26" s="122">
        <f>Tab01!G27+Tab01!G66</f>
        <v>4136215.6233438198</v>
      </c>
      <c r="H26" s="122">
        <f>Tab01!H27+Tab01!H66</f>
        <v>4624626.2366070775</v>
      </c>
    </row>
    <row r="27" spans="1:8" ht="12.75" customHeight="1">
      <c r="A27" s="228" t="s">
        <v>161</v>
      </c>
      <c r="B27" s="229">
        <f>Tab01!B82</f>
        <v>-2639596.6352617387</v>
      </c>
      <c r="C27" s="229">
        <f>Tab01!C82</f>
        <v>-3110633.044917086</v>
      </c>
      <c r="D27" s="229">
        <f>Tab01!D82</f>
        <v>-3129947.8000000003</v>
      </c>
      <c r="E27" s="229">
        <f>Tab01!E82</f>
        <v>-3549986.794760001</v>
      </c>
      <c r="F27" s="229">
        <f>Tab01!F82</f>
        <v>-3969417.734560894</v>
      </c>
      <c r="G27" s="229">
        <f>Tab01!G82</f>
        <v>-4438404.439899264</v>
      </c>
      <c r="H27" s="229">
        <f>Tab01!H82</f>
        <v>-4962801.924473361</v>
      </c>
    </row>
    <row r="28" spans="1:8" ht="12.75" customHeight="1">
      <c r="A28" s="230" t="s">
        <v>211</v>
      </c>
      <c r="B28" s="231">
        <f aca="true" t="shared" si="5" ref="B28:H28">B26+B27</f>
        <v>-94121.29526173836</v>
      </c>
      <c r="C28" s="231">
        <f t="shared" si="5"/>
        <v>-405537.8749170862</v>
      </c>
      <c r="D28" s="231">
        <f t="shared" si="5"/>
        <v>-212516.9200000004</v>
      </c>
      <c r="E28" s="231">
        <f t="shared" si="5"/>
        <v>-241269.46720672026</v>
      </c>
      <c r="F28" s="231">
        <f t="shared" si="5"/>
        <v>-270020.3689684761</v>
      </c>
      <c r="G28" s="231">
        <f t="shared" si="5"/>
        <v>-302188.81655544415</v>
      </c>
      <c r="H28" s="231">
        <f t="shared" si="5"/>
        <v>-338175.6878662836</v>
      </c>
    </row>
    <row r="29" spans="1:8" ht="12.75" customHeight="1">
      <c r="A29" s="226"/>
      <c r="B29" s="227"/>
      <c r="C29" s="227"/>
      <c r="D29" s="227"/>
      <c r="E29" s="227"/>
      <c r="F29" s="227"/>
      <c r="G29" s="227"/>
      <c r="H29" s="227"/>
    </row>
    <row r="30" spans="1:8" ht="12.75" customHeight="1">
      <c r="A30" s="110" t="s">
        <v>146</v>
      </c>
      <c r="B30" s="110"/>
      <c r="C30" s="124"/>
      <c r="D30" s="124"/>
      <c r="E30" s="124"/>
      <c r="F30" s="124"/>
      <c r="G30" s="124"/>
      <c r="H30" s="124"/>
    </row>
    <row r="31" spans="1:8" ht="12.75" customHeight="1">
      <c r="A31" s="125" t="s">
        <v>207</v>
      </c>
      <c r="B31" s="293">
        <v>3197000.48</v>
      </c>
      <c r="C31" s="221">
        <v>3637956.21</v>
      </c>
      <c r="D31" s="221">
        <v>3772000</v>
      </c>
      <c r="E31" s="123">
        <f>D31*(1+Parâmetros!B14)*(1+Parâmetros!B16)*(1+Parâmetros!B20)</f>
        <v>4278202.4</v>
      </c>
      <c r="F31" s="123">
        <f>E31*(1+Parâmetros!C14)*(1+Parâmetros!C16)*(1+Parâmetros!C20)</f>
        <v>4806025.6211</v>
      </c>
      <c r="G31" s="123">
        <f>F31*(1+Parâmetros!D14)*(1+Parâmetros!D16)*(1+Parâmetros!D20)</f>
        <v>5424080.51597346</v>
      </c>
      <c r="H31" s="123">
        <f>G31*(1+Parâmetros!E14)*(1+Parâmetros!E16)*(1+Parâmetros!E20)</f>
        <v>6149958.091023608</v>
      </c>
    </row>
    <row r="32" spans="1:8" ht="12.75" customHeight="1">
      <c r="A32" s="126" t="s">
        <v>208</v>
      </c>
      <c r="B32" s="292">
        <v>744471.77</v>
      </c>
      <c r="C32" s="221">
        <v>908309.5</v>
      </c>
      <c r="D32" s="221">
        <v>605000</v>
      </c>
      <c r="E32" s="123">
        <f>D32*(1+Parâmetros!B14)*(1+Parâmetros!B17)</f>
        <v>696002.89</v>
      </c>
      <c r="F32" s="123">
        <f>E32*(1+Parâmetros!C14)*(1+Parâmetros!C17)</f>
        <v>789363.6736602649</v>
      </c>
      <c r="G32" s="123">
        <f>F32*(1+Parâmetros!D14)*(1+Parâmetros!D17)</f>
        <v>895247.7327995423</v>
      </c>
      <c r="H32" s="123">
        <f>G32*(1+Parâmetros!E14)*(1+Parâmetros!E17)</f>
        <v>1015334.9208056736</v>
      </c>
    </row>
    <row r="33" spans="1:8" ht="12.75" customHeight="1">
      <c r="A33" s="127" t="s">
        <v>209</v>
      </c>
      <c r="B33" s="291">
        <v>53962</v>
      </c>
      <c r="C33" s="222">
        <v>21939.29</v>
      </c>
      <c r="D33" s="222"/>
      <c r="E33" s="210">
        <f>D33*(1+Parâmetros!B14)*(1+Parâmetros!B22)</f>
        <v>0</v>
      </c>
      <c r="F33" s="210">
        <f>E33*(1+Parâmetros!C14)*(1+Parâmetros!C22)</f>
        <v>0</v>
      </c>
      <c r="G33" s="210">
        <f>F33*(1+Parâmetros!D14)*(1+Parâmetros!D22)</f>
        <v>0</v>
      </c>
      <c r="H33" s="210">
        <f>G33*(1+Parâmetros!E14)*(1+Parâmetros!E22)</f>
        <v>0</v>
      </c>
    </row>
    <row r="34" spans="1:8" ht="12.75" customHeight="1">
      <c r="A34" s="112" t="s">
        <v>198</v>
      </c>
      <c r="B34" s="122">
        <f>B31+B32+B33-B28</f>
        <v>4089555.5452617384</v>
      </c>
      <c r="C34" s="122">
        <f aca="true" t="shared" si="6" ref="C34:H34">C31+C32+C33+(-C28)</f>
        <v>4973742.874917086</v>
      </c>
      <c r="D34" s="122">
        <f t="shared" si="6"/>
        <v>4589516.92</v>
      </c>
      <c r="E34" s="122">
        <f t="shared" si="6"/>
        <v>5215474.75720672</v>
      </c>
      <c r="F34" s="122">
        <f t="shared" si="6"/>
        <v>5865409.663728742</v>
      </c>
      <c r="G34" s="122">
        <f t="shared" si="6"/>
        <v>6621517.065328446</v>
      </c>
      <c r="H34" s="122">
        <f t="shared" si="6"/>
        <v>7503468.699695565</v>
      </c>
    </row>
    <row r="35" spans="1:8" ht="12.75" customHeight="1">
      <c r="A35" s="128"/>
      <c r="B35" s="128"/>
      <c r="C35" s="115"/>
      <c r="D35" s="115"/>
      <c r="E35" s="115"/>
      <c r="F35" s="115"/>
      <c r="G35" s="115"/>
      <c r="H35" s="115"/>
    </row>
    <row r="36" spans="1:8" ht="12.75" customHeight="1">
      <c r="A36" s="212" t="s">
        <v>212</v>
      </c>
      <c r="B36" s="216">
        <f aca="true" t="shared" si="7" ref="B36:H36">B34/B22</f>
        <v>0.2809035337066253</v>
      </c>
      <c r="C36" s="213">
        <f t="shared" si="7"/>
        <v>0.3115500688501167</v>
      </c>
      <c r="D36" s="213">
        <f t="shared" si="7"/>
        <v>0.2741890884766207</v>
      </c>
      <c r="E36" s="213">
        <f t="shared" si="7"/>
        <v>0.27498121498521716</v>
      </c>
      <c r="F36" s="213">
        <f t="shared" si="7"/>
        <v>0.27683162913093623</v>
      </c>
      <c r="G36" s="213">
        <f t="shared" si="7"/>
        <v>0.2797536636866203</v>
      </c>
      <c r="H36" s="213">
        <f t="shared" si="7"/>
        <v>0.2837750066225473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sheetProtection/>
  <mergeCells count="4">
    <mergeCell ref="C5:H5"/>
    <mergeCell ref="A2:H2"/>
    <mergeCell ref="A1:H1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1" r:id="rId1"/>
  <headerFooter alignWithMargins="0">
    <oddHeader>&amp;L&amp;D, &amp;T&amp;CPág.&amp;P/&amp;N&amp;R&amp;F -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H34"/>
  <sheetViews>
    <sheetView showGridLines="0" zoomScale="90" zoomScaleNormal="90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B30" sqref="B30"/>
    </sheetView>
  </sheetViews>
  <sheetFormatPr defaultColWidth="9.140625" defaultRowHeight="24" customHeight="1"/>
  <cols>
    <col min="1" max="1" width="79.00390625" style="51" customWidth="1"/>
    <col min="2" max="2" width="17.28125" style="51" customWidth="1"/>
    <col min="3" max="3" width="14.8515625" style="51" customWidth="1"/>
    <col min="4" max="4" width="16.140625" style="51" customWidth="1"/>
    <col min="5" max="5" width="16.8515625" style="51" customWidth="1"/>
    <col min="6" max="6" width="17.28125" style="51" customWidth="1"/>
    <col min="7" max="7" width="15.7109375" style="51" customWidth="1"/>
    <col min="8" max="8" width="15.57421875" style="51" customWidth="1"/>
    <col min="9" max="16384" width="9.140625" style="51" customWidth="1"/>
  </cols>
  <sheetData>
    <row r="1" spans="1:8" s="72" customFormat="1" ht="12.75" customHeight="1">
      <c r="A1" s="301" t="str">
        <f>+Tab01!A1</f>
        <v>MUNICÍPIO DE:  </v>
      </c>
      <c r="B1" s="301"/>
      <c r="C1" s="301"/>
      <c r="D1" s="301"/>
      <c r="E1" s="301"/>
      <c r="F1" s="301"/>
      <c r="G1" s="301"/>
      <c r="H1" s="301"/>
    </row>
    <row r="2" spans="1:8" s="50" customFormat="1" ht="12.75" customHeight="1">
      <c r="A2" s="296" t="s">
        <v>179</v>
      </c>
      <c r="B2" s="299"/>
      <c r="C2" s="299"/>
      <c r="D2" s="299"/>
      <c r="E2" s="299"/>
      <c r="F2" s="299"/>
      <c r="G2" s="299"/>
      <c r="H2" s="299"/>
    </row>
    <row r="3" spans="1:8" s="50" customFormat="1" ht="12.75" customHeight="1">
      <c r="A3" s="304" t="s">
        <v>260</v>
      </c>
      <c r="B3" s="305"/>
      <c r="C3" s="305"/>
      <c r="D3" s="305"/>
      <c r="E3" s="305"/>
      <c r="F3" s="305"/>
      <c r="G3" s="305"/>
      <c r="H3" s="305"/>
    </row>
    <row r="4" spans="1:8" ht="12.75" customHeight="1">
      <c r="A4" s="107"/>
      <c r="B4" s="107"/>
      <c r="C4" s="107"/>
      <c r="D4" s="107"/>
      <c r="E4" s="107"/>
      <c r="F4" s="107"/>
      <c r="G4" s="107"/>
      <c r="H4" s="108"/>
    </row>
    <row r="5" spans="1:8" ht="12.75" customHeight="1">
      <c r="A5" s="109" t="s">
        <v>1</v>
      </c>
      <c r="B5" s="109"/>
      <c r="C5" s="300" t="s">
        <v>2</v>
      </c>
      <c r="D5" s="300"/>
      <c r="E5" s="300"/>
      <c r="F5" s="300"/>
      <c r="G5" s="300"/>
      <c r="H5" s="300"/>
    </row>
    <row r="6" spans="1:8" ht="12.75" customHeight="1">
      <c r="A6" s="110" t="s">
        <v>3</v>
      </c>
      <c r="B6" s="111">
        <f>Tab01!B5</f>
        <v>2015</v>
      </c>
      <c r="C6" s="111">
        <f>Tab01!C5</f>
        <v>2016</v>
      </c>
      <c r="D6" s="111">
        <f>Tab01!D5</f>
        <v>2017</v>
      </c>
      <c r="E6" s="111">
        <f>Tab01!E5</f>
        <v>2018</v>
      </c>
      <c r="F6" s="111">
        <f>Tab01!F5</f>
        <v>2019</v>
      </c>
      <c r="G6" s="111">
        <f>Tab01!G5</f>
        <v>2020</v>
      </c>
      <c r="H6" s="111">
        <f>Tab01!H5</f>
        <v>2021</v>
      </c>
    </row>
    <row r="7" spans="1:8" ht="12.75" customHeight="1">
      <c r="A7" s="112" t="s">
        <v>4</v>
      </c>
      <c r="B7" s="234">
        <f>SUM(B8:B12)</f>
        <v>1006804.53</v>
      </c>
      <c r="C7" s="234">
        <f aca="true" t="shared" si="0" ref="C7:H7">SUM(C8:C12)</f>
        <v>730190.21</v>
      </c>
      <c r="D7" s="234">
        <f t="shared" si="0"/>
        <v>856612.8</v>
      </c>
      <c r="E7" s="234">
        <f t="shared" si="0"/>
        <v>953410.0464000001</v>
      </c>
      <c r="F7" s="234">
        <f t="shared" si="0"/>
        <v>1046129.1734124</v>
      </c>
      <c r="G7" s="234">
        <f t="shared" si="0"/>
        <v>1147865.235526756</v>
      </c>
      <c r="H7" s="234">
        <f t="shared" si="0"/>
        <v>1259495.129681733</v>
      </c>
    </row>
    <row r="8" spans="1:8" ht="12.75" customHeight="1">
      <c r="A8" s="114" t="s">
        <v>9</v>
      </c>
      <c r="B8" s="235">
        <f>+Tab01!B11</f>
        <v>54611.3</v>
      </c>
      <c r="C8" s="235">
        <f>+Tab01!C11</f>
        <v>62542.95</v>
      </c>
      <c r="D8" s="235">
        <f>+Tab01!D11</f>
        <v>69616.66</v>
      </c>
      <c r="E8" s="235">
        <f>+Tab01!E11</f>
        <v>77483.34258000001</v>
      </c>
      <c r="F8" s="235">
        <f>+Tab01!F11</f>
        <v>85018.59764590501</v>
      </c>
      <c r="G8" s="235">
        <f>+Tab01!G11</f>
        <v>93286.65626696928</v>
      </c>
      <c r="H8" s="235">
        <f>+Tab01!H11</f>
        <v>102358.78358893204</v>
      </c>
    </row>
    <row r="9" spans="1:8" ht="12.75" customHeight="1">
      <c r="A9" s="116" t="s">
        <v>93</v>
      </c>
      <c r="B9" s="236">
        <f>+Tab01!B12</f>
        <v>222619.81</v>
      </c>
      <c r="C9" s="236">
        <f>+Tab01!C12</f>
        <v>240508.57</v>
      </c>
      <c r="D9" s="236">
        <f>+Tab01!D12</f>
        <v>255474.21</v>
      </c>
      <c r="E9" s="236">
        <f>+Tab01!E12</f>
        <v>284342.79573</v>
      </c>
      <c r="F9" s="236">
        <f>+Tab01!F12</f>
        <v>311995.1326147425</v>
      </c>
      <c r="G9" s="236">
        <f>+Tab01!G12</f>
        <v>342336.6592615262</v>
      </c>
      <c r="H9" s="236">
        <f>+Tab01!H12</f>
        <v>375628.89937470964</v>
      </c>
    </row>
    <row r="10" spans="1:8" ht="12.75" customHeight="1">
      <c r="A10" s="114" t="s">
        <v>10</v>
      </c>
      <c r="B10" s="235">
        <f>+Tab01!B16</f>
        <v>424527</v>
      </c>
      <c r="C10" s="235">
        <f>+Tab01!C16</f>
        <v>230558.48</v>
      </c>
      <c r="D10" s="235">
        <f>+Tab01!D16</f>
        <v>151834.57</v>
      </c>
      <c r="E10" s="235">
        <f>+Tab01!E16</f>
        <v>168991.87641000003</v>
      </c>
      <c r="F10" s="235">
        <f>+Tab01!F16</f>
        <v>185426.33639087252</v>
      </c>
      <c r="G10" s="235">
        <f>+Tab01!G16</f>
        <v>203459.04760488486</v>
      </c>
      <c r="H10" s="235">
        <f>+Tab01!H16</f>
        <v>223245.43998445992</v>
      </c>
    </row>
    <row r="11" spans="1:8" ht="12.75" customHeight="1">
      <c r="A11" s="114" t="s">
        <v>11</v>
      </c>
      <c r="B11" s="235">
        <f>+Tab01!B17</f>
        <v>197666.41</v>
      </c>
      <c r="C11" s="235">
        <f>+Tab01!C17</f>
        <v>92382.26</v>
      </c>
      <c r="D11" s="235">
        <f>+Tab01!D17</f>
        <v>251907.84</v>
      </c>
      <c r="E11" s="235">
        <f>+Tab01!E17</f>
        <v>280373.42592</v>
      </c>
      <c r="F11" s="235">
        <f>+Tab01!F17</f>
        <v>307639.74159072</v>
      </c>
      <c r="G11" s="235">
        <f>+Tab01!G17</f>
        <v>337557.70646041754</v>
      </c>
      <c r="H11" s="235">
        <f>+Tab01!H17</f>
        <v>370385.19341369317</v>
      </c>
    </row>
    <row r="12" spans="1:8" ht="12.75" customHeight="1">
      <c r="A12" s="114" t="s">
        <v>174</v>
      </c>
      <c r="B12" s="235">
        <f>+Tab01!B76+Tab01!B78</f>
        <v>107380.01000000001</v>
      </c>
      <c r="C12" s="235">
        <f>+Tab01!C76+Tab01!C78</f>
        <v>104197.95</v>
      </c>
      <c r="D12" s="235">
        <f>+Tab01!D76+Tab01!D78</f>
        <v>127779.52</v>
      </c>
      <c r="E12" s="235">
        <f>+Tab01!E76+Tab01!E78</f>
        <v>142218.60576</v>
      </c>
      <c r="F12" s="235">
        <f>+Tab01!F76+Tab01!F78</f>
        <v>156049.36517016</v>
      </c>
      <c r="G12" s="235">
        <f>+Tab01!G76+Tab01!G78</f>
        <v>171225.16593295804</v>
      </c>
      <c r="H12" s="235">
        <f>+Tab01!H76+Tab01!H78</f>
        <v>187876.81331993823</v>
      </c>
    </row>
    <row r="13" spans="1:8" ht="12.75" customHeight="1">
      <c r="A13" s="112" t="s">
        <v>5</v>
      </c>
      <c r="B13" s="234">
        <f aca="true" t="shared" si="1" ref="B13:H13">SUM(B14:B16)</f>
        <v>6067465.719999999</v>
      </c>
      <c r="C13" s="234">
        <f t="shared" si="1"/>
        <v>6928068.989999999</v>
      </c>
      <c r="D13" s="234">
        <f t="shared" si="1"/>
        <v>7044559</v>
      </c>
      <c r="E13" s="234">
        <f t="shared" si="1"/>
        <v>7989938.8178</v>
      </c>
      <c r="F13" s="234">
        <f t="shared" si="1"/>
        <v>8933950.08912307</v>
      </c>
      <c r="G13" s="234">
        <f t="shared" si="1"/>
        <v>9989496.29215296</v>
      </c>
      <c r="H13" s="234">
        <f t="shared" si="1"/>
        <v>11169755.279070832</v>
      </c>
    </row>
    <row r="14" spans="1:8" ht="12.75" customHeight="1">
      <c r="A14" s="119" t="s">
        <v>15</v>
      </c>
      <c r="B14" s="235">
        <f>+Tab01!B55</f>
        <v>5843221.27</v>
      </c>
      <c r="C14" s="235">
        <f>+Tab01!C55</f>
        <v>6715406.5</v>
      </c>
      <c r="D14" s="235">
        <f>+Tab01!D55</f>
        <v>6757050</v>
      </c>
      <c r="E14" s="235">
        <f>+Tab01!E55</f>
        <v>7663846.11</v>
      </c>
      <c r="F14" s="235">
        <f>+Tab01!F55</f>
        <v>8569329.5278965</v>
      </c>
      <c r="G14" s="235">
        <f>+Tab01!G55</f>
        <v>9581795.81161747</v>
      </c>
      <c r="H14" s="235">
        <f>+Tab01!H55</f>
        <v>10713884.986760074</v>
      </c>
    </row>
    <row r="15" spans="1:8" ht="12.75" customHeight="1">
      <c r="A15" s="119" t="s">
        <v>17</v>
      </c>
      <c r="B15" s="235">
        <f>+Tab01!B56</f>
        <v>114752.18</v>
      </c>
      <c r="C15" s="235">
        <f>+Tab01!C56</f>
        <v>135194.6</v>
      </c>
      <c r="D15" s="235">
        <f>+Tab01!D56</f>
        <v>164031</v>
      </c>
      <c r="E15" s="235">
        <f>+Tab01!E56</f>
        <v>186043.96020000003</v>
      </c>
      <c r="F15" s="235">
        <f>+Tab01!F56</f>
        <v>208025.05409763003</v>
      </c>
      <c r="G15" s="235">
        <f>+Tab01!G56</f>
        <v>232603.214239265</v>
      </c>
      <c r="H15" s="235">
        <f>+Tab01!H56</f>
        <v>260085.28400163417</v>
      </c>
    </row>
    <row r="16" spans="1:8" ht="12.75" customHeight="1">
      <c r="A16" s="118" t="s">
        <v>19</v>
      </c>
      <c r="B16" s="235">
        <f>+Tab01!B57</f>
        <v>109492.27</v>
      </c>
      <c r="C16" s="235">
        <f>+Tab01!C57</f>
        <v>77467.89</v>
      </c>
      <c r="D16" s="235">
        <f>+Tab01!D57</f>
        <v>123478</v>
      </c>
      <c r="E16" s="235">
        <f>+Tab01!E57</f>
        <v>140048.7476</v>
      </c>
      <c r="F16" s="235">
        <f>+Tab01!F57</f>
        <v>156595.50712894002</v>
      </c>
      <c r="G16" s="235">
        <f>+Tab01!G57</f>
        <v>175097.2662962243</v>
      </c>
      <c r="H16" s="235">
        <f>+Tab01!H57</f>
        <v>195785.0083091232</v>
      </c>
    </row>
    <row r="17" spans="1:8" ht="12.75" customHeight="1">
      <c r="A17" s="112" t="s">
        <v>7</v>
      </c>
      <c r="B17" s="234">
        <f>SUM(B18:B21)</f>
        <v>7484306.109999999</v>
      </c>
      <c r="C17" s="234">
        <f aca="true" t="shared" si="2" ref="C17:H17">SUM(C18:C21)</f>
        <v>8306246.58</v>
      </c>
      <c r="D17" s="234">
        <f t="shared" si="2"/>
        <v>8837338.64</v>
      </c>
      <c r="E17" s="234">
        <f t="shared" si="2"/>
        <v>10023309.485488001</v>
      </c>
      <c r="F17" s="234">
        <f t="shared" si="2"/>
        <v>11207563.501198407</v>
      </c>
      <c r="G17" s="234">
        <f t="shared" si="2"/>
        <v>12531737.128865</v>
      </c>
      <c r="H17" s="234">
        <f t="shared" si="2"/>
        <v>14012361.870640397</v>
      </c>
    </row>
    <row r="18" spans="1:8" ht="12.75" customHeight="1">
      <c r="A18" s="119" t="s">
        <v>112</v>
      </c>
      <c r="B18" s="235">
        <f>+Tab01!B51</f>
        <v>41992.91</v>
      </c>
      <c r="C18" s="235">
        <f>+Tab01!C51</f>
        <v>43604.42</v>
      </c>
      <c r="D18" s="235">
        <f>+Tab01!D51</f>
        <v>47466.5</v>
      </c>
      <c r="E18" s="235">
        <f>+Tab01!E51</f>
        <v>53836.50430000001</v>
      </c>
      <c r="F18" s="235">
        <f>+Tab01!F51</f>
        <v>60197.28728304501</v>
      </c>
      <c r="G18" s="235">
        <f>+Tab01!G51</f>
        <v>67309.59677553677</v>
      </c>
      <c r="H18" s="235">
        <f>+Tab01!H51</f>
        <v>75262.22563456644</v>
      </c>
    </row>
    <row r="19" spans="1:8" ht="12.75" customHeight="1">
      <c r="A19" s="119" t="s">
        <v>18</v>
      </c>
      <c r="B19" s="237">
        <f>+Tab01!B44</f>
        <v>6707087.39</v>
      </c>
      <c r="C19" s="237">
        <f>+Tab01!C44</f>
        <v>7496227.89</v>
      </c>
      <c r="D19" s="237">
        <f>+Tab01!D44</f>
        <v>8207522.43</v>
      </c>
      <c r="E19" s="237">
        <f>+Tab01!E44</f>
        <v>9308971.940106</v>
      </c>
      <c r="F19" s="237">
        <f>+Tab01!F44</f>
        <v>10408826.974829525</v>
      </c>
      <c r="G19" s="237">
        <f>+Tab01!G44</f>
        <v>11638629.881905632</v>
      </c>
      <c r="H19" s="237">
        <f>+Tab01!H44</f>
        <v>13013734.002452781</v>
      </c>
    </row>
    <row r="20" spans="1:8" ht="12.75" customHeight="1">
      <c r="A20" s="223" t="s">
        <v>199</v>
      </c>
      <c r="B20" s="237">
        <f>+Tab01!B45</f>
        <v>0</v>
      </c>
      <c r="C20" s="237">
        <f>+Tab01!C45</f>
        <v>0</v>
      </c>
      <c r="D20" s="237">
        <f>+Tab01!D45</f>
        <v>232158.64</v>
      </c>
      <c r="E20" s="237">
        <f>+Tab01!E45</f>
        <v>263314.329488</v>
      </c>
      <c r="F20" s="237">
        <f>+Tab01!F45</f>
        <v>294424.9175170072</v>
      </c>
      <c r="G20" s="237">
        <f>+Tab01!G45</f>
        <v>329211.2215216416</v>
      </c>
      <c r="H20" s="237">
        <f>+Tab01!H45</f>
        <v>368107.5273444236</v>
      </c>
    </row>
    <row r="21" spans="1:8" ht="12.75" customHeight="1">
      <c r="A21" s="119" t="s">
        <v>14</v>
      </c>
      <c r="B21" s="237">
        <f>+Tab01!B46</f>
        <v>735225.81</v>
      </c>
      <c r="C21" s="237">
        <f>+Tab01!C46</f>
        <v>766414.27</v>
      </c>
      <c r="D21" s="237">
        <f>+Tab01!D46</f>
        <v>350191.07</v>
      </c>
      <c r="E21" s="237">
        <f>+Tab01!E46</f>
        <v>397186.71159400005</v>
      </c>
      <c r="F21" s="237">
        <f>+Tab01!F46</f>
        <v>444114.32156883116</v>
      </c>
      <c r="G21" s="237">
        <f>+Tab01!G46</f>
        <v>496586.4286621886</v>
      </c>
      <c r="H21" s="237">
        <f>+Tab01!H46</f>
        <v>555258.1152086261</v>
      </c>
    </row>
    <row r="22" spans="1:8" ht="12.75" customHeight="1">
      <c r="A22" s="119" t="s">
        <v>112</v>
      </c>
      <c r="B22" s="237">
        <f>Tab01!B51</f>
        <v>41992.91</v>
      </c>
      <c r="C22" s="237">
        <f>Tab01!C51</f>
        <v>43604.42</v>
      </c>
      <c r="D22" s="237">
        <f>Tab01!D51</f>
        <v>47466.5</v>
      </c>
      <c r="E22" s="237">
        <f>Tab01!E51</f>
        <v>53836.50430000001</v>
      </c>
      <c r="F22" s="237">
        <f>Tab01!F51</f>
        <v>60197.28728304501</v>
      </c>
      <c r="G22" s="237">
        <f>Tab01!G51</f>
        <v>67309.59677553677</v>
      </c>
      <c r="H22" s="237">
        <f>Tab01!H51</f>
        <v>75262.22563456644</v>
      </c>
    </row>
    <row r="23" spans="1:8" ht="12.75" customHeight="1">
      <c r="A23" s="121" t="s">
        <v>200</v>
      </c>
      <c r="B23" s="238">
        <f aca="true" t="shared" si="3" ref="B23:H23">B7+B13+B17</f>
        <v>14558576.36</v>
      </c>
      <c r="C23" s="238">
        <f t="shared" si="3"/>
        <v>15964505.78</v>
      </c>
      <c r="D23" s="238">
        <f t="shared" si="3"/>
        <v>16738510.440000001</v>
      </c>
      <c r="E23" s="238">
        <f t="shared" si="3"/>
        <v>18966658.349688</v>
      </c>
      <c r="F23" s="238">
        <f t="shared" si="3"/>
        <v>21187642.76373388</v>
      </c>
      <c r="G23" s="238">
        <f t="shared" si="3"/>
        <v>23669098.656544715</v>
      </c>
      <c r="H23" s="238">
        <f t="shared" si="3"/>
        <v>26441612.27939296</v>
      </c>
    </row>
    <row r="24" spans="1:8" ht="12.75" customHeight="1">
      <c r="A24" s="144"/>
      <c r="B24" s="239"/>
      <c r="C24" s="239"/>
      <c r="D24" s="239"/>
      <c r="E24" s="239"/>
      <c r="F24" s="239"/>
      <c r="G24" s="239"/>
      <c r="H24" s="239"/>
    </row>
    <row r="25" spans="1:8" ht="12.75" customHeight="1">
      <c r="A25" s="232" t="s">
        <v>213</v>
      </c>
      <c r="B25" s="240">
        <f aca="true" t="shared" si="4" ref="B25:H25">B23*15%</f>
        <v>2183786.454</v>
      </c>
      <c r="C25" s="240">
        <f t="shared" si="4"/>
        <v>2394675.8669999996</v>
      </c>
      <c r="D25" s="240">
        <f t="shared" si="4"/>
        <v>2510776.566</v>
      </c>
      <c r="E25" s="240">
        <f t="shared" si="4"/>
        <v>2844998.7524532</v>
      </c>
      <c r="F25" s="240">
        <f t="shared" si="4"/>
        <v>3178146.414560082</v>
      </c>
      <c r="G25" s="240">
        <f t="shared" si="4"/>
        <v>3550364.798481707</v>
      </c>
      <c r="H25" s="241">
        <f t="shared" si="4"/>
        <v>3966241.841908944</v>
      </c>
    </row>
    <row r="26" spans="1:8" ht="12.75" customHeight="1">
      <c r="A26" s="144"/>
      <c r="B26" s="239"/>
      <c r="C26" s="239"/>
      <c r="D26" s="239"/>
      <c r="E26" s="239"/>
      <c r="F26" s="239"/>
      <c r="G26" s="239"/>
      <c r="H26" s="239"/>
    </row>
    <row r="27" spans="1:8" ht="12.75" customHeight="1">
      <c r="A27" s="109" t="s">
        <v>214</v>
      </c>
      <c r="B27" s="242"/>
      <c r="C27" s="242"/>
      <c r="D27" s="242"/>
      <c r="E27" s="243"/>
      <c r="F27" s="243"/>
      <c r="G27" s="243"/>
      <c r="H27" s="243"/>
    </row>
    <row r="28" spans="1:8" ht="12.75" customHeight="1">
      <c r="A28" s="132" t="s">
        <v>215</v>
      </c>
      <c r="B28" s="244">
        <v>1320000</v>
      </c>
      <c r="C28" s="245">
        <v>1481000</v>
      </c>
      <c r="D28" s="246">
        <v>1574000</v>
      </c>
      <c r="E28" s="247">
        <f>D28*(1+Parâmetros!B14)*(1+Parâmetros!B16)*(1+Parâmetros!B20)</f>
        <v>1785230.8</v>
      </c>
      <c r="F28" s="247">
        <f>E28*(1+Parâmetros!C14)*(1+Parâmetros!C16)*(1+Parâmetros!C20)</f>
        <v>2005483.64995</v>
      </c>
      <c r="G28" s="247">
        <f>F28*(1+Parâmetros!D14)*(1+Parâmetros!D16)*(1+Parâmetros!D20)</f>
        <v>2263388.84733357</v>
      </c>
      <c r="H28" s="247">
        <f>G28*(1+Parâmetros!E14)*(1+Parâmetros!E16)*(1+Parâmetros!E20)</f>
        <v>2566286.8598279846</v>
      </c>
    </row>
    <row r="29" spans="1:8" ht="12.75" customHeight="1">
      <c r="A29" s="133" t="s">
        <v>216</v>
      </c>
      <c r="B29" s="233">
        <v>828000</v>
      </c>
      <c r="C29" s="245">
        <v>1107000</v>
      </c>
      <c r="D29" s="246">
        <v>1250507.23</v>
      </c>
      <c r="E29" s="247">
        <f>D29*(1+Parâmetros!B14)*(1+Parâmetros!B17)</f>
        <v>1438606.0265221398</v>
      </c>
      <c r="F29" s="247">
        <f>E29*(1+Parâmetros!C14)*(1+Parâmetros!C17)</f>
        <v>1631578.4810107795</v>
      </c>
      <c r="G29" s="247">
        <f>F29*(1+Parâmetros!D14)*(1+Parâmetros!D17)</f>
        <v>1850435.9710858436</v>
      </c>
      <c r="H29" s="247">
        <f>G29*(1+Parâmetros!E14)*(1+Parâmetros!E17)</f>
        <v>2098650.676593342</v>
      </c>
    </row>
    <row r="30" spans="1:8" ht="12.75" customHeight="1">
      <c r="A30" s="134" t="s">
        <v>217</v>
      </c>
      <c r="B30" s="233">
        <v>41000</v>
      </c>
      <c r="C30" s="245">
        <v>6000</v>
      </c>
      <c r="D30" s="246">
        <v>13000</v>
      </c>
      <c r="E30" s="247">
        <f>D30*(1+Parâmetros!B14)*(1+Parâmetros!B22)</f>
        <v>13780</v>
      </c>
      <c r="F30" s="247">
        <f>E30*(1+Parâmetros!C14)*(1+Parâmetros!C22)</f>
        <v>14400.099999999999</v>
      </c>
      <c r="G30" s="247">
        <f>F30*(1+Parâmetros!D14)*(1+Parâmetros!D22)</f>
        <v>15048.104499999998</v>
      </c>
      <c r="H30" s="247">
        <f>G30*(1+Parâmetros!E14)*(1+Parâmetros!E22)</f>
        <v>15725.269202499996</v>
      </c>
    </row>
    <row r="31" spans="1:8" ht="12.75" customHeight="1">
      <c r="A31" s="134" t="s">
        <v>218</v>
      </c>
      <c r="B31" s="233">
        <f>Tab01!B29</f>
        <v>6576.57</v>
      </c>
      <c r="C31" s="233">
        <f>Tab01!C29</f>
        <v>5526.17</v>
      </c>
      <c r="D31" s="233">
        <f>Tab01!D29</f>
        <v>6838.06</v>
      </c>
      <c r="E31" s="233">
        <f>Tab01!E29</f>
        <v>7430.277024360001</v>
      </c>
      <c r="F31" s="233">
        <f>Tab01!F29</f>
        <v>7965.743653259016</v>
      </c>
      <c r="G31" s="233">
        <f>Tab01!G29</f>
        <v>8535.636851444127</v>
      </c>
      <c r="H31" s="233">
        <f>Tab01!H29</f>
        <v>9148.085866808946</v>
      </c>
    </row>
    <row r="32" spans="1:8" ht="12.75" customHeight="1">
      <c r="A32" s="131" t="s">
        <v>20</v>
      </c>
      <c r="B32" s="240">
        <f aca="true" t="shared" si="5" ref="B32:H32">B28+B29+B30</f>
        <v>2189000</v>
      </c>
      <c r="C32" s="240">
        <f t="shared" si="5"/>
        <v>2594000</v>
      </c>
      <c r="D32" s="240">
        <f t="shared" si="5"/>
        <v>2837507.23</v>
      </c>
      <c r="E32" s="240">
        <f t="shared" si="5"/>
        <v>3237616.82652214</v>
      </c>
      <c r="F32" s="240">
        <f t="shared" si="5"/>
        <v>3651462.2309607794</v>
      </c>
      <c r="G32" s="240">
        <f t="shared" si="5"/>
        <v>4128872.9229194135</v>
      </c>
      <c r="H32" s="240">
        <f t="shared" si="5"/>
        <v>4680662.805623827</v>
      </c>
    </row>
    <row r="33" spans="1:8" ht="12.75" customHeight="1">
      <c r="A33" s="107"/>
      <c r="B33" s="107"/>
      <c r="C33" s="107"/>
      <c r="D33" s="107"/>
      <c r="E33" s="107"/>
      <c r="F33" s="107"/>
      <c r="G33" s="107"/>
      <c r="H33" s="107"/>
    </row>
    <row r="34" spans="1:8" ht="12.75" customHeight="1">
      <c r="A34" s="131" t="s">
        <v>21</v>
      </c>
      <c r="B34" s="135">
        <f aca="true" t="shared" si="6" ref="B34:H34">B32/B23</f>
        <v>0.15035810822920326</v>
      </c>
      <c r="C34" s="135">
        <f t="shared" si="6"/>
        <v>0.16248545590742366</v>
      </c>
      <c r="D34" s="135">
        <f t="shared" si="6"/>
        <v>0.16951969771570663</v>
      </c>
      <c r="E34" s="135">
        <f t="shared" si="6"/>
        <v>0.17070043477507982</v>
      </c>
      <c r="F34" s="135">
        <f t="shared" si="6"/>
        <v>0.17233923904035492</v>
      </c>
      <c r="G34" s="135">
        <f t="shared" si="6"/>
        <v>0.1744414936467276</v>
      </c>
      <c r="H34" s="135">
        <f t="shared" si="6"/>
        <v>0.17701881247504941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/>
  <mergeCells count="4">
    <mergeCell ref="C5:H5"/>
    <mergeCell ref="A1:H1"/>
    <mergeCell ref="A2:H2"/>
    <mergeCell ref="A3:H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3" r:id="rId2"/>
  <headerFooter alignWithMargins="0">
    <oddHeader>&amp;L&amp;D, &amp;T&amp;CPág.&amp;P/&amp;N&amp;R&amp;F - 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IV45"/>
  <sheetViews>
    <sheetView showGridLines="0" zoomScale="90" zoomScaleNormal="90" zoomScaleSheetLayoutView="100" zoomScalePageLayoutView="0" workbookViewId="0" topLeftCell="A1">
      <pane ySplit="6" topLeftCell="A24" activePane="bottomLeft" state="frozen"/>
      <selection pane="topLeft" activeCell="A1" sqref="A1"/>
      <selection pane="bottomLeft" activeCell="D46" sqref="D46"/>
    </sheetView>
  </sheetViews>
  <sheetFormatPr defaultColWidth="9.140625" defaultRowHeight="24" customHeight="1"/>
  <cols>
    <col min="1" max="1" width="77.140625" style="51" customWidth="1"/>
    <col min="2" max="6" width="14.7109375" style="51" customWidth="1"/>
    <col min="7" max="9" width="22.7109375" style="51" customWidth="1"/>
    <col min="10" max="16384" width="9.140625" style="51" customWidth="1"/>
  </cols>
  <sheetData>
    <row r="1" spans="1:6" s="72" customFormat="1" ht="12.75" customHeight="1">
      <c r="A1" s="301" t="str">
        <f>+Tab01!A1</f>
        <v>MUNICÍPIO DE:  </v>
      </c>
      <c r="B1" s="301"/>
      <c r="C1" s="301"/>
      <c r="D1" s="301"/>
      <c r="E1" s="301"/>
      <c r="F1" s="301"/>
    </row>
    <row r="2" spans="1:6" s="50" customFormat="1" ht="12.75" customHeight="1">
      <c r="A2" s="309" t="s">
        <v>179</v>
      </c>
      <c r="B2" s="310"/>
      <c r="C2" s="310"/>
      <c r="D2" s="310"/>
      <c r="E2" s="310"/>
      <c r="F2" s="310"/>
    </row>
    <row r="3" spans="1:6" s="50" customFormat="1" ht="12.75" customHeight="1">
      <c r="A3" s="311" t="s">
        <v>183</v>
      </c>
      <c r="B3" s="312"/>
      <c r="C3" s="312"/>
      <c r="D3" s="312"/>
      <c r="E3" s="312"/>
      <c r="F3" s="312"/>
    </row>
    <row r="4" spans="1:6" ht="12.75" customHeight="1">
      <c r="A4" s="107"/>
      <c r="B4" s="107"/>
      <c r="C4" s="107"/>
      <c r="D4" s="107"/>
      <c r="E4" s="107"/>
      <c r="F4" s="108"/>
    </row>
    <row r="5" spans="1:6" ht="12.75" customHeight="1">
      <c r="A5" s="306" t="s">
        <v>220</v>
      </c>
      <c r="B5" s="308" t="s">
        <v>219</v>
      </c>
      <c r="C5" s="308"/>
      <c r="D5" s="308"/>
      <c r="E5" s="308"/>
      <c r="F5" s="308"/>
    </row>
    <row r="6" spans="1:6" ht="12.75" customHeight="1" thickBot="1">
      <c r="A6" s="307"/>
      <c r="B6" s="136">
        <f>+C6-1</f>
        <v>2017</v>
      </c>
      <c r="C6" s="136">
        <f>+D6-1</f>
        <v>2018</v>
      </c>
      <c r="D6" s="136">
        <f>+E6-1</f>
        <v>2019</v>
      </c>
      <c r="E6" s="138">
        <f>+F6-1</f>
        <v>2020</v>
      </c>
      <c r="F6" s="138">
        <f>Tab03!H6</f>
        <v>2021</v>
      </c>
    </row>
    <row r="7" spans="1:6" ht="12.75" customHeight="1" thickBot="1">
      <c r="A7" s="139" t="s">
        <v>8</v>
      </c>
      <c r="B7" s="248">
        <f>SUM(B8:B13)</f>
        <v>715289.63</v>
      </c>
      <c r="C7" s="248">
        <f>SUM(C8:C13)</f>
        <v>810273.76</v>
      </c>
      <c r="D7" s="248">
        <f>SUM(D8:D13)</f>
        <v>901834.6948800002</v>
      </c>
      <c r="E7" s="248">
        <f>SUM(E8:E13)</f>
        <v>989538.11895708</v>
      </c>
      <c r="F7" s="248">
        <f>SUM(F8:F13)</f>
        <v>1085770.7010256562</v>
      </c>
    </row>
    <row r="8" spans="1:6" ht="12.75" customHeight="1">
      <c r="A8" s="119" t="s">
        <v>9</v>
      </c>
      <c r="B8" s="247">
        <f>Tab01!C11</f>
        <v>62542.95</v>
      </c>
      <c r="C8" s="247">
        <f>Tab01!D11</f>
        <v>69616.66</v>
      </c>
      <c r="D8" s="247">
        <f>Tab01!E11</f>
        <v>77483.34258000001</v>
      </c>
      <c r="E8" s="247">
        <f>Tab01!F11</f>
        <v>85018.59764590501</v>
      </c>
      <c r="F8" s="247">
        <f>Tab01!G11</f>
        <v>93286.65626696928</v>
      </c>
    </row>
    <row r="9" spans="1:6" ht="12.75" customHeight="1">
      <c r="A9" s="130" t="s">
        <v>93</v>
      </c>
      <c r="B9" s="247">
        <f>Tab01!C12</f>
        <v>240508.57</v>
      </c>
      <c r="C9" s="247">
        <f>Tab01!D12</f>
        <v>255474.21</v>
      </c>
      <c r="D9" s="247">
        <f>Tab01!E12</f>
        <v>284342.79573</v>
      </c>
      <c r="E9" s="247">
        <f>Tab01!F12</f>
        <v>311995.1326147425</v>
      </c>
      <c r="F9" s="247">
        <f>Tab01!G12</f>
        <v>342336.6592615262</v>
      </c>
    </row>
    <row r="10" spans="1:6" ht="12.75" customHeight="1">
      <c r="A10" s="119" t="s">
        <v>10</v>
      </c>
      <c r="B10" s="247">
        <f>Tab01!C16</f>
        <v>230558.48</v>
      </c>
      <c r="C10" s="247">
        <f>Tab01!D16</f>
        <v>151834.57</v>
      </c>
      <c r="D10" s="247">
        <f>Tab01!E16</f>
        <v>168991.87641000003</v>
      </c>
      <c r="E10" s="247">
        <f>Tab01!F16</f>
        <v>185426.33639087252</v>
      </c>
      <c r="F10" s="247">
        <f>Tab01!G16</f>
        <v>203459.04760488486</v>
      </c>
    </row>
    <row r="11" spans="1:6" ht="12.75" customHeight="1">
      <c r="A11" s="119" t="s">
        <v>11</v>
      </c>
      <c r="B11" s="247">
        <f>Tab01!C17</f>
        <v>92382.26</v>
      </c>
      <c r="C11" s="247">
        <f>Tab01!D17</f>
        <v>251907.84</v>
      </c>
      <c r="D11" s="247">
        <f>Tab01!E17</f>
        <v>280373.42592</v>
      </c>
      <c r="E11" s="247">
        <f>Tab01!F17</f>
        <v>307639.74159072</v>
      </c>
      <c r="F11" s="247">
        <f>Tab01!G17</f>
        <v>337557.70646041754</v>
      </c>
    </row>
    <row r="12" spans="1:6" ht="12.75" customHeight="1">
      <c r="A12" s="119" t="s">
        <v>24</v>
      </c>
      <c r="B12" s="247">
        <f>Tab01!C18</f>
        <v>89297.37</v>
      </c>
      <c r="C12" s="247">
        <f>Tab01!D18</f>
        <v>81440.48</v>
      </c>
      <c r="D12" s="247">
        <f>Tab01!E18</f>
        <v>90643.25424000001</v>
      </c>
      <c r="E12" s="247">
        <f>Tab01!F18</f>
        <v>99458.31071484</v>
      </c>
      <c r="F12" s="247">
        <f>Tab01!G18</f>
        <v>109130.63143185819</v>
      </c>
    </row>
    <row r="13" spans="1:6" ht="12.75" customHeight="1">
      <c r="A13" s="119" t="s">
        <v>108</v>
      </c>
      <c r="B13" s="247">
        <f>Tab01!C19</f>
        <v>0</v>
      </c>
      <c r="C13" s="247">
        <f>Tab01!D19</f>
        <v>0</v>
      </c>
      <c r="D13" s="247">
        <f>Tab01!E19</f>
        <v>0</v>
      </c>
      <c r="E13" s="247">
        <f>Tab01!F19</f>
        <v>0</v>
      </c>
      <c r="F13" s="247">
        <f>Tab01!G19</f>
        <v>0</v>
      </c>
    </row>
    <row r="14" spans="1:256" ht="12.75" customHeight="1">
      <c r="A14" s="259" t="s">
        <v>221</v>
      </c>
      <c r="B14" s="260">
        <f>Tab01!C23</f>
        <v>46453.77</v>
      </c>
      <c r="C14" s="260">
        <f>Tab01!D23</f>
        <v>43321.31</v>
      </c>
      <c r="D14" s="260">
        <f>Tab01!E23</f>
        <v>47073.19537386</v>
      </c>
      <c r="E14" s="260">
        <f>Tab01!F23</f>
        <v>50465.5487350749</v>
      </c>
      <c r="F14" s="261">
        <f>Tab01!G23</f>
        <v>54076.005488228366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ht="12.75" customHeight="1">
      <c r="A15" s="256" t="s">
        <v>222</v>
      </c>
      <c r="B15" s="257">
        <f>Tab01!C21</f>
        <v>0</v>
      </c>
      <c r="C15" s="257">
        <f>Tab01!D21</f>
        <v>0</v>
      </c>
      <c r="D15" s="257">
        <f>Tab01!E21</f>
        <v>0</v>
      </c>
      <c r="E15" s="257">
        <f>Tab01!F21</f>
        <v>0</v>
      </c>
      <c r="F15" s="258">
        <f>Tab01!G21</f>
        <v>0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6" ht="12.75" customHeight="1" thickBot="1">
      <c r="A16" s="254" t="s">
        <v>225</v>
      </c>
      <c r="B16" s="255">
        <f>SUM(B17:B24)</f>
        <v>15246843.83</v>
      </c>
      <c r="C16" s="255">
        <f>SUM(C17:C24)</f>
        <v>15881897.64</v>
      </c>
      <c r="D16" s="255">
        <f>SUM(D17:D24)</f>
        <v>18013248.303288</v>
      </c>
      <c r="E16" s="255">
        <f>SUM(E17:E24)</f>
        <v>20141513.590321474</v>
      </c>
      <c r="F16" s="255">
        <f>SUM(F17:F24)</f>
        <v>22521233.421017956</v>
      </c>
    </row>
    <row r="17" spans="1:6" ht="12.75" customHeight="1">
      <c r="A17" s="119" t="s">
        <v>18</v>
      </c>
      <c r="B17" s="247">
        <f>Tab01!C44</f>
        <v>7496227.89</v>
      </c>
      <c r="C17" s="247">
        <f>Tab01!D44</f>
        <v>8207522.43</v>
      </c>
      <c r="D17" s="247">
        <f>Tab01!E44</f>
        <v>9308971.940106</v>
      </c>
      <c r="E17" s="247">
        <f>Tab01!F44</f>
        <v>10408826.974829525</v>
      </c>
      <c r="F17" s="247">
        <f>Tab01!G44</f>
        <v>11638629.881905632</v>
      </c>
    </row>
    <row r="18" spans="1:6" ht="12.75" customHeight="1">
      <c r="A18" s="119" t="s">
        <v>223</v>
      </c>
      <c r="B18" s="247">
        <f>Tab01!C45</f>
        <v>0</v>
      </c>
      <c r="C18" s="247">
        <f>Tab01!D45</f>
        <v>232158.64</v>
      </c>
      <c r="D18" s="247">
        <f>Tab01!E45</f>
        <v>263314.329488</v>
      </c>
      <c r="E18" s="247">
        <f>Tab01!F45</f>
        <v>294424.9175170072</v>
      </c>
      <c r="F18" s="247">
        <f>Tab01!G45</f>
        <v>329211.2215216416</v>
      </c>
    </row>
    <row r="19" spans="1:6" ht="12.75" customHeight="1">
      <c r="A19" s="119" t="s">
        <v>14</v>
      </c>
      <c r="B19" s="247">
        <f>Tab01!C46</f>
        <v>766414.27</v>
      </c>
      <c r="C19" s="247">
        <f>Tab01!D46</f>
        <v>350191.07</v>
      </c>
      <c r="D19" s="247">
        <f>Tab01!E46</f>
        <v>397186.71159400005</v>
      </c>
      <c r="E19" s="247">
        <f>Tab01!F46</f>
        <v>444114.32156883116</v>
      </c>
      <c r="F19" s="247">
        <f>Tab01!G46</f>
        <v>496586.4286621886</v>
      </c>
    </row>
    <row r="20" spans="1:6" ht="12.75" customHeight="1">
      <c r="A20" s="118" t="s">
        <v>112</v>
      </c>
      <c r="B20" s="247">
        <f>Tab01!C51</f>
        <v>43604.42</v>
      </c>
      <c r="C20" s="247">
        <f>Tab01!D51</f>
        <v>47466.5</v>
      </c>
      <c r="D20" s="247">
        <f>Tab01!E51</f>
        <v>53836.50430000001</v>
      </c>
      <c r="E20" s="247">
        <f>Tab01!F51</f>
        <v>60197.28728304501</v>
      </c>
      <c r="F20" s="247">
        <f>Tab01!G51</f>
        <v>67309.59677553677</v>
      </c>
    </row>
    <row r="21" spans="1:6" ht="12.75" customHeight="1">
      <c r="A21" s="119" t="s">
        <v>17</v>
      </c>
      <c r="B21" s="247">
        <f>Tab01!C55</f>
        <v>6715406.5</v>
      </c>
      <c r="C21" s="247">
        <f>Tab01!D55</f>
        <v>6757050</v>
      </c>
      <c r="D21" s="247">
        <f>Tab01!E55</f>
        <v>7663846.11</v>
      </c>
      <c r="E21" s="247">
        <f>Tab01!F55</f>
        <v>8569329.5278965</v>
      </c>
      <c r="F21" s="247">
        <f>Tab01!G55</f>
        <v>9581795.81161747</v>
      </c>
    </row>
    <row r="22" spans="1:6" ht="12.75" customHeight="1">
      <c r="A22" s="119" t="s">
        <v>15</v>
      </c>
      <c r="B22" s="247">
        <f>Tab01!C56</f>
        <v>135194.6</v>
      </c>
      <c r="C22" s="247">
        <f>Tab01!D56</f>
        <v>164031</v>
      </c>
      <c r="D22" s="247">
        <f>Tab01!E56</f>
        <v>186043.96020000003</v>
      </c>
      <c r="E22" s="247">
        <f>Tab01!F56</f>
        <v>208025.05409763003</v>
      </c>
      <c r="F22" s="247">
        <f>Tab01!G56</f>
        <v>232603.214239265</v>
      </c>
    </row>
    <row r="23" spans="1:6" ht="12.75" customHeight="1">
      <c r="A23" s="119" t="s">
        <v>19</v>
      </c>
      <c r="B23" s="247">
        <f>Tab01!C57</f>
        <v>77467.89</v>
      </c>
      <c r="C23" s="247">
        <f>Tab01!D57</f>
        <v>123478</v>
      </c>
      <c r="D23" s="247">
        <f>Tab01!E57</f>
        <v>140048.7476</v>
      </c>
      <c r="E23" s="247">
        <f>Tab01!F57</f>
        <v>156595.50712894002</v>
      </c>
      <c r="F23" s="247">
        <f>Tab01!G57</f>
        <v>175097.2662962243</v>
      </c>
    </row>
    <row r="24" spans="1:6" ht="12.75" customHeight="1" thickBot="1">
      <c r="A24" s="119" t="s">
        <v>224</v>
      </c>
      <c r="B24" s="247">
        <f>Tab01!C60</f>
        <v>12528.26</v>
      </c>
      <c r="C24" s="247">
        <f>Tab01!D60</f>
        <v>0</v>
      </c>
      <c r="D24" s="247">
        <f>Tab01!E60</f>
        <v>0</v>
      </c>
      <c r="E24" s="247">
        <f>Tab01!F60</f>
        <v>0</v>
      </c>
      <c r="F24" s="247">
        <f>Tab01!G60</f>
        <v>0</v>
      </c>
    </row>
    <row r="25" spans="1:6" ht="12.75" customHeight="1" thickBot="1">
      <c r="A25" s="140" t="s">
        <v>226</v>
      </c>
      <c r="B25" s="249">
        <f>B26+B27</f>
        <v>104197.95</v>
      </c>
      <c r="C25" s="249">
        <f>C26+C27</f>
        <v>127779.52</v>
      </c>
      <c r="D25" s="249">
        <f>D26+D27</f>
        <v>142218.60576</v>
      </c>
      <c r="E25" s="249">
        <f>E26+E27</f>
        <v>156049.36517016</v>
      </c>
      <c r="F25" s="250">
        <f>F26+F27</f>
        <v>171225.16593295804</v>
      </c>
    </row>
    <row r="26" spans="1:6" ht="12.75" customHeight="1">
      <c r="A26" s="119" t="s">
        <v>147</v>
      </c>
      <c r="B26" s="247">
        <f>Tab01!C76</f>
        <v>20887.73</v>
      </c>
      <c r="C26" s="247">
        <f>Tab01!D76</f>
        <v>5960.97</v>
      </c>
      <c r="D26" s="247">
        <f>Tab01!E76</f>
        <v>6634.559610000001</v>
      </c>
      <c r="E26" s="247">
        <f>Tab01!F76</f>
        <v>7279.770532072502</v>
      </c>
      <c r="F26" s="247">
        <f>Tab01!G76</f>
        <v>7987.728216316552</v>
      </c>
    </row>
    <row r="27" spans="1:6" ht="12.75" customHeight="1">
      <c r="A27" s="119" t="s">
        <v>148</v>
      </c>
      <c r="B27" s="247">
        <f>Tab01!C78</f>
        <v>83310.22</v>
      </c>
      <c r="C27" s="247">
        <f>Tab01!D78</f>
        <v>121818.55</v>
      </c>
      <c r="D27" s="247">
        <f>Tab01!E78</f>
        <v>135584.04615</v>
      </c>
      <c r="E27" s="247">
        <f>Tab01!F78</f>
        <v>148769.5946380875</v>
      </c>
      <c r="F27" s="247">
        <f>Tab01!G78</f>
        <v>163237.4377166415</v>
      </c>
    </row>
    <row r="28" spans="1:6" ht="12.75" customHeight="1">
      <c r="A28" s="197" t="s">
        <v>227</v>
      </c>
      <c r="B28" s="262">
        <f>Tab01!C83</f>
        <v>0</v>
      </c>
      <c r="C28" s="262">
        <f>Tab01!D83</f>
        <v>0</v>
      </c>
      <c r="D28" s="262">
        <f>Tab01!E83</f>
        <v>0</v>
      </c>
      <c r="E28" s="262">
        <f>Tab01!F83</f>
        <v>0</v>
      </c>
      <c r="F28" s="262">
        <f>Tab01!G83</f>
        <v>0</v>
      </c>
    </row>
    <row r="29" spans="1:6" ht="12.75" customHeight="1" thickBot="1">
      <c r="A29" s="119"/>
      <c r="B29" s="247"/>
      <c r="C29" s="247"/>
      <c r="D29" s="247"/>
      <c r="E29" s="247"/>
      <c r="F29" s="247"/>
    </row>
    <row r="30" spans="1:6" ht="12.75" customHeight="1" thickBot="1">
      <c r="A30" s="139" t="s">
        <v>228</v>
      </c>
      <c r="B30" s="248">
        <f>B7+B14+B15+B16+B25+B28</f>
        <v>16112785.18</v>
      </c>
      <c r="C30" s="248">
        <f>C7+C14+C15+C16+C25+C28</f>
        <v>16863272.23</v>
      </c>
      <c r="D30" s="248">
        <f>D7+D14+D15+D16+D25+D28</f>
        <v>19104374.799301863</v>
      </c>
      <c r="E30" s="248">
        <f>E7+E14+E15+E16+E25+E28</f>
        <v>21337566.623183787</v>
      </c>
      <c r="F30" s="248">
        <f>F7+F14+F15+F16+F25+F28</f>
        <v>23832305.2934648</v>
      </c>
    </row>
    <row r="31" spans="1:6" ht="12.75" customHeight="1">
      <c r="A31" s="141" t="s">
        <v>65</v>
      </c>
      <c r="B31" s="142"/>
      <c r="C31" s="143"/>
      <c r="D31" s="102"/>
      <c r="E31" s="102"/>
      <c r="F31" s="102"/>
    </row>
    <row r="32" spans="1:6" ht="12.75" customHeight="1">
      <c r="A32" s="144" t="s">
        <v>232</v>
      </c>
      <c r="B32" s="81">
        <v>0.07</v>
      </c>
      <c r="C32" s="143"/>
      <c r="D32" s="102"/>
      <c r="E32" s="102"/>
      <c r="F32" s="102"/>
    </row>
    <row r="33" spans="1:6" ht="12.75" customHeight="1">
      <c r="A33" s="145" t="s">
        <v>137</v>
      </c>
      <c r="B33" s="146"/>
      <c r="C33" s="146"/>
      <c r="D33" s="146"/>
      <c r="E33" s="146"/>
      <c r="F33" s="146"/>
    </row>
    <row r="34" spans="1:6" ht="12.75" customHeight="1">
      <c r="A34" s="147" t="str">
        <f>CONCATENATE("Legislativo Total (E) ",TEXT(B32,"0,0%")," de (D)")</f>
        <v>Legislativo Total (E) 7,0% de (D)</v>
      </c>
      <c r="B34" s="239">
        <f>+B30*$B$32</f>
        <v>1127894.9626000002</v>
      </c>
      <c r="C34" s="239">
        <f>+C30*$B$32</f>
        <v>1180429.0561000002</v>
      </c>
      <c r="D34" s="239">
        <f>+D30*$B$32</f>
        <v>1337306.2359511305</v>
      </c>
      <c r="E34" s="239">
        <f>+E30*$B$32</f>
        <v>1493629.6636228652</v>
      </c>
      <c r="F34" s="239">
        <f>+F30*$B$32</f>
        <v>1668261.370542536</v>
      </c>
    </row>
    <row r="35" spans="1:6" ht="12.75" customHeight="1">
      <c r="A35" s="149" t="s">
        <v>130</v>
      </c>
      <c r="B35" s="251">
        <f>+B34*70%</f>
        <v>789526.4738200001</v>
      </c>
      <c r="C35" s="251">
        <f>+C34*70%</f>
        <v>826300.3392700001</v>
      </c>
      <c r="D35" s="251">
        <f>+D34*70%</f>
        <v>936114.3651657912</v>
      </c>
      <c r="E35" s="251">
        <f>+E34*70%</f>
        <v>1045540.7645360056</v>
      </c>
      <c r="F35" s="251">
        <f>+F34*70%</f>
        <v>1167782.9593797752</v>
      </c>
    </row>
    <row r="36" spans="1:6" ht="12.75" customHeight="1">
      <c r="A36" s="107"/>
      <c r="B36" s="239"/>
      <c r="C36" s="252"/>
      <c r="D36" s="247"/>
      <c r="E36" s="247"/>
      <c r="F36" s="247"/>
    </row>
    <row r="37" spans="1:6" ht="12.75" customHeight="1">
      <c r="A37" s="264" t="s">
        <v>229</v>
      </c>
      <c r="B37" s="253">
        <f>B38+B39</f>
        <v>1154580</v>
      </c>
      <c r="C37" s="253">
        <f>C38+C39</f>
        <v>1317065.9000000001</v>
      </c>
      <c r="D37" s="253">
        <f>D38+D39</f>
        <v>1449270.5104625</v>
      </c>
      <c r="E37" s="253">
        <f>E38+E39</f>
        <v>1601885.2338703773</v>
      </c>
      <c r="F37" s="265">
        <f>F38+F39</f>
        <v>1778771.7495317701</v>
      </c>
    </row>
    <row r="38" spans="1:6" ht="12.75" customHeight="1">
      <c r="A38" s="266" t="s">
        <v>237</v>
      </c>
      <c r="B38" s="263">
        <v>790000</v>
      </c>
      <c r="C38" s="263">
        <f>Tab05!E20-Tab05!E21+Tab05!E22</f>
        <v>930611.1000000001</v>
      </c>
      <c r="D38" s="263">
        <f>Tab05!F20-Tab05!F21+Tab05!F22</f>
        <v>1045425.2444625</v>
      </c>
      <c r="E38" s="263">
        <f>Tab05!G20-Tab05!G21+Tab05!G22</f>
        <v>1179866.9309003775</v>
      </c>
      <c r="F38" s="263">
        <f>Tab05!H20-Tab05!H21+Tab05!H22</f>
        <v>1337762.6229281202</v>
      </c>
    </row>
    <row r="39" spans="1:6" ht="12.75" customHeight="1">
      <c r="A39" s="266" t="s">
        <v>233</v>
      </c>
      <c r="B39" s="267">
        <v>364580</v>
      </c>
      <c r="C39" s="268">
        <f>B39*(1+Parâmetros!B14)</f>
        <v>386454.80000000005</v>
      </c>
      <c r="D39" s="268">
        <f>C39*(1+Parâmetros!C14)</f>
        <v>403845.266</v>
      </c>
      <c r="E39" s="268">
        <f>D39*(1+Parâmetros!D14)</f>
        <v>422018.30296999996</v>
      </c>
      <c r="F39" s="269">
        <f>E39*(1+Parâmetros!E14)</f>
        <v>441009.12660364993</v>
      </c>
    </row>
    <row r="40" spans="1:6" ht="12.75" customHeight="1">
      <c r="A40" s="282"/>
      <c r="B40" s="263"/>
      <c r="C40" s="283"/>
      <c r="D40" s="283"/>
      <c r="E40" s="283"/>
      <c r="F40" s="283"/>
    </row>
    <row r="41" spans="1:6" ht="12.75" customHeight="1">
      <c r="A41" s="284" t="s">
        <v>230</v>
      </c>
      <c r="B41" s="285">
        <f>B37/B30</f>
        <v>0.07165614058040834</v>
      </c>
      <c r="C41" s="285">
        <f>C37/C30</f>
        <v>0.07810262931395492</v>
      </c>
      <c r="D41" s="285">
        <f>D37/D30</f>
        <v>0.075860661533685</v>
      </c>
      <c r="E41" s="285">
        <f>E37/E30</f>
        <v>0.07507347309837524</v>
      </c>
      <c r="F41" s="286">
        <f>F37/F30</f>
        <v>0.07463699913325372</v>
      </c>
    </row>
    <row r="42" spans="1:6" ht="12.75" customHeight="1">
      <c r="A42" s="287" t="s">
        <v>231</v>
      </c>
      <c r="B42" s="288">
        <f>B38/B34</f>
        <v>0.7004198318067741</v>
      </c>
      <c r="C42" s="288">
        <f>C38/C34</f>
        <v>0.7883668189892161</v>
      </c>
      <c r="D42" s="288">
        <f>D38/D34</f>
        <v>0.7817396018638645</v>
      </c>
      <c r="E42" s="288">
        <f>E38/E34</f>
        <v>0.7899327119940546</v>
      </c>
      <c r="F42" s="289">
        <f>F38/F34</f>
        <v>0.8018903072083158</v>
      </c>
    </row>
    <row r="43" spans="1:6" ht="12.75" customHeight="1">
      <c r="A43" s="88"/>
      <c r="B43" s="88"/>
      <c r="C43" s="88"/>
      <c r="D43" s="88"/>
      <c r="E43" s="88"/>
      <c r="F43" s="88"/>
    </row>
    <row r="44" spans="1:5" ht="12.75" customHeight="1">
      <c r="A44" s="71" t="s">
        <v>264</v>
      </c>
      <c r="B44" s="71"/>
      <c r="C44" s="61"/>
      <c r="D44" s="61"/>
      <c r="E44" s="61"/>
    </row>
    <row r="45" spans="1:5" ht="12.75" customHeight="1">
      <c r="A45" s="71" t="s">
        <v>265</v>
      </c>
      <c r="B45" s="71"/>
      <c r="C45" s="61"/>
      <c r="D45" s="61"/>
      <c r="E45" s="61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/>
  <mergeCells count="5">
    <mergeCell ref="A5:A6"/>
    <mergeCell ref="B5:F5"/>
    <mergeCell ref="A1:F1"/>
    <mergeCell ref="A2:F2"/>
    <mergeCell ref="A3:F3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&amp;L&amp;D, &amp;T&amp;CPág.&amp;P/&amp;N&amp;R&amp;F -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31"/>
  <sheetViews>
    <sheetView showGridLines="0" zoomScale="90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30" sqref="H30"/>
    </sheetView>
  </sheetViews>
  <sheetFormatPr defaultColWidth="11.28125" defaultRowHeight="24" customHeight="1"/>
  <cols>
    <col min="1" max="1" width="65.421875" style="71" customWidth="1"/>
    <col min="2" max="2" width="17.00390625" style="71" customWidth="1"/>
    <col min="3" max="3" width="15.7109375" style="61" customWidth="1"/>
    <col min="4" max="4" width="16.7109375" style="61" customWidth="1"/>
    <col min="5" max="5" width="16.57421875" style="61" customWidth="1"/>
    <col min="6" max="6" width="15.7109375" style="61" customWidth="1"/>
    <col min="7" max="7" width="17.00390625" style="61" customWidth="1"/>
    <col min="8" max="8" width="16.57421875" style="61" customWidth="1"/>
    <col min="9" max="10" width="11.7109375" style="51" customWidth="1"/>
    <col min="11" max="16384" width="11.28125" style="51" customWidth="1"/>
  </cols>
  <sheetData>
    <row r="1" spans="1:8" s="72" customFormat="1" ht="12.75">
      <c r="A1" s="313" t="str">
        <f>+Tab01!A1</f>
        <v>MUNICÍPIO DE:  </v>
      </c>
      <c r="B1" s="310"/>
      <c r="C1" s="310"/>
      <c r="D1" s="310"/>
      <c r="E1" s="310"/>
      <c r="F1" s="310"/>
      <c r="G1" s="310"/>
      <c r="H1" s="310"/>
    </row>
    <row r="2" spans="1:8" s="50" customFormat="1" ht="12.75">
      <c r="A2" s="323" t="s">
        <v>179</v>
      </c>
      <c r="B2" s="323"/>
      <c r="C2" s="323"/>
      <c r="D2" s="323"/>
      <c r="E2" s="323"/>
      <c r="F2" s="323"/>
      <c r="G2" s="323"/>
      <c r="H2" s="323"/>
    </row>
    <row r="3" spans="1:8" ht="15" customHeight="1">
      <c r="A3" s="314" t="s">
        <v>261</v>
      </c>
      <c r="B3" s="315"/>
      <c r="C3" s="315"/>
      <c r="D3" s="315"/>
      <c r="E3" s="315"/>
      <c r="F3" s="315"/>
      <c r="G3" s="315"/>
      <c r="H3" s="315"/>
    </row>
    <row r="4" spans="1:8" ht="15" customHeight="1">
      <c r="A4" s="220"/>
      <c r="B4" s="219"/>
      <c r="C4" s="219"/>
      <c r="D4" s="219"/>
      <c r="E4" s="219"/>
      <c r="F4" s="219"/>
      <c r="G4" s="219"/>
      <c r="H4" s="219"/>
    </row>
    <row r="5" spans="1:8" s="50" customFormat="1" ht="12.75">
      <c r="A5" s="316" t="s">
        <v>173</v>
      </c>
      <c r="B5" s="217"/>
      <c r="C5" s="319" t="s">
        <v>32</v>
      </c>
      <c r="D5" s="319"/>
      <c r="E5" s="319"/>
      <c r="F5" s="319"/>
      <c r="G5" s="319"/>
      <c r="H5" s="320"/>
    </row>
    <row r="6" spans="1:9" s="50" customFormat="1" ht="12.75">
      <c r="A6" s="317"/>
      <c r="B6" s="151">
        <f aca="true" t="shared" si="0" ref="B6:G6">+C6-1</f>
        <v>2015</v>
      </c>
      <c r="C6" s="151">
        <f t="shared" si="0"/>
        <v>2016</v>
      </c>
      <c r="D6" s="152">
        <f t="shared" si="0"/>
        <v>2017</v>
      </c>
      <c r="E6" s="151">
        <f t="shared" si="0"/>
        <v>2018</v>
      </c>
      <c r="F6" s="151">
        <f t="shared" si="0"/>
        <v>2019</v>
      </c>
      <c r="G6" s="151">
        <f t="shared" si="0"/>
        <v>2020</v>
      </c>
      <c r="H6" s="152">
        <f>+'Tab01-A'!H5</f>
        <v>2021</v>
      </c>
      <c r="I6" s="69"/>
    </row>
    <row r="7" spans="1:9" ht="21.75" customHeight="1">
      <c r="A7" s="153" t="s">
        <v>138</v>
      </c>
      <c r="B7" s="270">
        <v>9009380.63</v>
      </c>
      <c r="C7" s="271">
        <v>10208848.12</v>
      </c>
      <c r="D7" s="272">
        <v>11201391.29</v>
      </c>
      <c r="E7" s="273">
        <f>D7*(1+Parâmetros!B14)*(1+Parâmetros!B16)*(1+Parâmetros!B20)</f>
        <v>12704618.001118</v>
      </c>
      <c r="F7" s="273">
        <f>E7*(1+Parâmetros!C14)*(1+Parâmetros!C16)*(1+Parâmetros!C20)</f>
        <v>14272050.247005932</v>
      </c>
      <c r="G7" s="273">
        <f>F7*(1+Parâmetros!D14)*(1+Parâmetros!D16)*(1+Parâmetros!D20)</f>
        <v>16107435.908770895</v>
      </c>
      <c r="H7" s="273">
        <f>G7*(1+Parâmetros!E14)*(1+Parâmetros!E16)*(1+Parâmetros!E20)</f>
        <v>18263013.519262157</v>
      </c>
      <c r="I7" s="70"/>
    </row>
    <row r="8" spans="1:9" ht="21.75" customHeight="1">
      <c r="A8" s="153" t="s">
        <v>235</v>
      </c>
      <c r="B8" s="270"/>
      <c r="C8" s="271"/>
      <c r="D8" s="272"/>
      <c r="E8" s="273">
        <f>D8*(1+Parâmetros!B14)*(1+Parâmetros!B16)*(1+Parâmetros!B20)</f>
        <v>0</v>
      </c>
      <c r="F8" s="273">
        <f>E8*(1+Parâmetros!C14)*(1+Parâmetros!C16)*(1+Parâmetros!C20)</f>
        <v>0</v>
      </c>
      <c r="G8" s="273">
        <f>F8*(1+Parâmetros!D14)*(1+Parâmetros!D16)*(1+Parâmetros!D20)</f>
        <v>0</v>
      </c>
      <c r="H8" s="273">
        <f>G8*(1+Parâmetros!E14)*(1+Parâmetros!E16)*(1+Parâmetros!E20)</f>
        <v>0</v>
      </c>
      <c r="I8" s="70"/>
    </row>
    <row r="9" spans="1:9" ht="21.75" customHeight="1">
      <c r="A9" s="154" t="s">
        <v>234</v>
      </c>
      <c r="B9" s="270"/>
      <c r="C9" s="271"/>
      <c r="D9" s="272"/>
      <c r="E9" s="273">
        <f>D9*(1+Parâmetros!B14)*(1+Parâmetros!B16)*(1+Parâmetros!B20)</f>
        <v>0</v>
      </c>
      <c r="F9" s="273">
        <f>E9*(1+Parâmetros!C14)*(1+Parâmetros!C16)*(1+Parâmetros!C20)</f>
        <v>0</v>
      </c>
      <c r="G9" s="273">
        <f>F9*(1+Parâmetros!D14)*(1+Parâmetros!D16)*(1+Parâmetros!D20)</f>
        <v>0</v>
      </c>
      <c r="H9" s="273">
        <f>G9*(1+Parâmetros!E14)*(1+Parâmetros!E16)*(1+Parâmetros!E20)</f>
        <v>0</v>
      </c>
      <c r="I9" s="70"/>
    </row>
    <row r="10" spans="1:9" ht="21.75" customHeight="1">
      <c r="A10" s="153" t="s">
        <v>149</v>
      </c>
      <c r="B10" s="270">
        <v>163167.24</v>
      </c>
      <c r="C10" s="271"/>
      <c r="D10" s="272"/>
      <c r="E10" s="273">
        <f>D10*(1+Parâmetros!B14)</f>
        <v>0</v>
      </c>
      <c r="F10" s="273">
        <f>E10*(1+Parâmetros!C14)</f>
        <v>0</v>
      </c>
      <c r="G10" s="273">
        <f>F10*(1+Parâmetros!D14)</f>
        <v>0</v>
      </c>
      <c r="H10" s="274">
        <f>G10*(1+Parâmetros!E14)</f>
        <v>0</v>
      </c>
      <c r="I10" s="70"/>
    </row>
    <row r="11" spans="1:9" ht="21.75" customHeight="1">
      <c r="A11" s="153" t="s">
        <v>239</v>
      </c>
      <c r="B11" s="273">
        <f>Tab01!B13</f>
        <v>126376.38</v>
      </c>
      <c r="C11" s="273">
        <f>Tab01!C13</f>
        <v>146540</v>
      </c>
      <c r="D11" s="273">
        <f>Tab01!D13</f>
        <v>159220.96</v>
      </c>
      <c r="E11" s="273">
        <f>Tab01!E13</f>
        <v>177212.92848</v>
      </c>
      <c r="F11" s="273">
        <f>Tab01!F13</f>
        <v>194446.88577468</v>
      </c>
      <c r="G11" s="273">
        <f>Tab01!G13</f>
        <v>213356.84541626764</v>
      </c>
      <c r="H11" s="273">
        <f>Tab01!H13</f>
        <v>234105.79863299965</v>
      </c>
      <c r="I11" s="70"/>
    </row>
    <row r="12" spans="1:9" ht="21.75" customHeight="1">
      <c r="A12" s="155" t="s">
        <v>240</v>
      </c>
      <c r="B12" s="275">
        <f aca="true" t="shared" si="1" ref="B12:H12">+B7+B8-B9-B10-B11</f>
        <v>8719837.01</v>
      </c>
      <c r="C12" s="275">
        <f t="shared" si="1"/>
        <v>10062308.12</v>
      </c>
      <c r="D12" s="275">
        <f t="shared" si="1"/>
        <v>11042170.329999998</v>
      </c>
      <c r="E12" s="275">
        <f t="shared" si="1"/>
        <v>12527405.072638001</v>
      </c>
      <c r="F12" s="275">
        <f t="shared" si="1"/>
        <v>14077603.361231253</v>
      </c>
      <c r="G12" s="275">
        <f t="shared" si="1"/>
        <v>15894079.063354626</v>
      </c>
      <c r="H12" s="276">
        <f t="shared" si="1"/>
        <v>18028907.72062916</v>
      </c>
      <c r="I12" s="70"/>
    </row>
    <row r="13" spans="1:9" ht="21.75" customHeight="1">
      <c r="A13" s="156" t="s">
        <v>131</v>
      </c>
      <c r="B13" s="277">
        <f>'Tab01-A'!B14</f>
        <v>17600461.639999997</v>
      </c>
      <c r="C13" s="277">
        <f>+'Tab01-A'!C14</f>
        <v>19149790.35</v>
      </c>
      <c r="D13" s="277">
        <f>+'Tab01-A'!D14</f>
        <v>19832316.1</v>
      </c>
      <c r="E13" s="277">
        <f>+'Tab01-A'!E14</f>
        <v>22429088.64646212</v>
      </c>
      <c r="F13" s="277">
        <f>+'Tab01-A'!F14</f>
        <v>25009394.84622135</v>
      </c>
      <c r="G13" s="277">
        <f>+'Tab01-A'!G14</f>
        <v>27888939.790775582</v>
      </c>
      <c r="H13" s="278">
        <f>+'Tab01-A'!H14</f>
        <v>31102727.348597333</v>
      </c>
      <c r="I13" s="70"/>
    </row>
    <row r="14" spans="1:9" ht="21.75" customHeight="1">
      <c r="A14" s="156" t="s">
        <v>132</v>
      </c>
      <c r="B14" s="157">
        <f aca="true" t="shared" si="2" ref="B14:H14">IF(B13&lt;&gt;0,B12/B13,0)</f>
        <v>0.49543228969532876</v>
      </c>
      <c r="C14" s="157">
        <f t="shared" si="2"/>
        <v>0.5254526517570987</v>
      </c>
      <c r="D14" s="157">
        <f t="shared" si="2"/>
        <v>0.556776640424766</v>
      </c>
      <c r="E14" s="157">
        <f t="shared" si="2"/>
        <v>0.5585338428190674</v>
      </c>
      <c r="F14" s="157">
        <f t="shared" si="2"/>
        <v>0.5628926028715255</v>
      </c>
      <c r="G14" s="157">
        <f t="shared" si="2"/>
        <v>0.5699061772370306</v>
      </c>
      <c r="H14" s="218">
        <f t="shared" si="2"/>
        <v>0.5796568101106485</v>
      </c>
      <c r="I14" s="70"/>
    </row>
    <row r="15" spans="1:9" ht="12.75" customHeight="1">
      <c r="A15" s="321"/>
      <c r="B15" s="321"/>
      <c r="C15" s="321"/>
      <c r="D15" s="321"/>
      <c r="E15" s="321"/>
      <c r="F15" s="321"/>
      <c r="G15" s="321"/>
      <c r="H15" s="321"/>
      <c r="I15" s="70"/>
    </row>
    <row r="16" spans="1:8" ht="12.75" customHeight="1">
      <c r="A16" s="214"/>
      <c r="B16" s="214"/>
      <c r="C16" s="211"/>
      <c r="D16" s="211"/>
      <c r="E16" s="211"/>
      <c r="F16" s="211"/>
      <c r="G16" s="211"/>
      <c r="H16" s="211"/>
    </row>
    <row r="17" spans="1:8" ht="12.75" customHeight="1">
      <c r="A17" s="214"/>
      <c r="B17" s="214"/>
      <c r="C17" s="211"/>
      <c r="D17" s="211"/>
      <c r="E17" s="211"/>
      <c r="F17" s="211"/>
      <c r="G17" s="211"/>
      <c r="H17" s="211"/>
    </row>
    <row r="18" spans="1:8" ht="12.75" customHeight="1">
      <c r="A18" s="316" t="s">
        <v>171</v>
      </c>
      <c r="B18" s="215"/>
      <c r="C18" s="318" t="s">
        <v>32</v>
      </c>
      <c r="D18" s="319"/>
      <c r="E18" s="319"/>
      <c r="F18" s="319"/>
      <c r="G18" s="319"/>
      <c r="H18" s="320"/>
    </row>
    <row r="19" spans="1:8" ht="12.75" customHeight="1">
      <c r="A19" s="317"/>
      <c r="B19" s="151">
        <f aca="true" t="shared" si="3" ref="B19:G19">+C19-1</f>
        <v>2015</v>
      </c>
      <c r="C19" s="151">
        <f t="shared" si="3"/>
        <v>2016</v>
      </c>
      <c r="D19" s="152">
        <f t="shared" si="3"/>
        <v>2017</v>
      </c>
      <c r="E19" s="151">
        <f t="shared" si="3"/>
        <v>2018</v>
      </c>
      <c r="F19" s="151">
        <f t="shared" si="3"/>
        <v>2019</v>
      </c>
      <c r="G19" s="151">
        <f t="shared" si="3"/>
        <v>2020</v>
      </c>
      <c r="H19" s="152">
        <f>+'Tab01-A'!H5</f>
        <v>2021</v>
      </c>
    </row>
    <row r="20" spans="1:8" ht="12.75" customHeight="1">
      <c r="A20" s="153" t="s">
        <v>138</v>
      </c>
      <c r="B20" s="279">
        <v>677357.11</v>
      </c>
      <c r="C20" s="280">
        <v>798353.64</v>
      </c>
      <c r="D20" s="280">
        <v>820500</v>
      </c>
      <c r="E20" s="273">
        <f>D20*(1+Parâmetros!B14)*(1+Parâmetros!B16)*(1+Parâmetros!B21)</f>
        <v>930611.1000000001</v>
      </c>
      <c r="F20" s="273">
        <f>E20*(1+Parâmetros!C14)*(1+Parâmetros!C16)*(1+Parâmetros!C21)</f>
        <v>1045425.2444625</v>
      </c>
      <c r="G20" s="273">
        <f>F20*(1+Parâmetros!D14)*(1+Parâmetros!D16)*(1+Parâmetros!D21)</f>
        <v>1179866.9309003775</v>
      </c>
      <c r="H20" s="273">
        <f>G20*(1+Parâmetros!E14)*(1+Parâmetros!E16)*(1+Parâmetros!E21)</f>
        <v>1337762.6229281202</v>
      </c>
    </row>
    <row r="21" spans="1:8" ht="12.75" customHeight="1">
      <c r="A21" s="153" t="s">
        <v>236</v>
      </c>
      <c r="B21" s="279"/>
      <c r="C21" s="280"/>
      <c r="D21" s="280">
        <v>0</v>
      </c>
      <c r="E21" s="273">
        <f>D21*(1+Parâmetros!B14)*(1+Parâmetros!B16)*(1+Parâmetros!B21)</f>
        <v>0</v>
      </c>
      <c r="F21" s="273">
        <f>E21*(1+Parâmetros!C14)*(1+Parâmetros!C16)*(1+Parâmetros!C21)</f>
        <v>0</v>
      </c>
      <c r="G21" s="273">
        <f>F21*(1+Parâmetros!D14)*(1+Parâmetros!D16)*(1+Parâmetros!D21)</f>
        <v>0</v>
      </c>
      <c r="H21" s="274">
        <f>G21*(1+Parâmetros!E14)*(1+Parâmetros!E16)*(1+Parâmetros!E21)</f>
        <v>0</v>
      </c>
    </row>
    <row r="22" spans="1:8" ht="12.75" customHeight="1">
      <c r="A22" s="154" t="s">
        <v>238</v>
      </c>
      <c r="B22" s="281"/>
      <c r="C22" s="280"/>
      <c r="D22" s="280">
        <v>0</v>
      </c>
      <c r="E22" s="273">
        <f>D22*(1+Parâmetros!B14)*(1+Parâmetros!B16)*(1+Parâmetros!B21)</f>
        <v>0</v>
      </c>
      <c r="F22" s="273">
        <f>E22*(1+Parâmetros!C14)*(1+Parâmetros!C16)*(1+Parâmetros!C21)</f>
        <v>0</v>
      </c>
      <c r="G22" s="273">
        <f>F22*(1+Parâmetros!D14)*(1+Parâmetros!D16)*(1+Parâmetros!D21)</f>
        <v>0</v>
      </c>
      <c r="H22" s="274">
        <f>G22*(1+Parâmetros!E14)*(1+Parâmetros!E16)*(1+Parâmetros!E21)</f>
        <v>0</v>
      </c>
    </row>
    <row r="23" spans="1:8" ht="12.75" customHeight="1">
      <c r="A23" s="153" t="s">
        <v>149</v>
      </c>
      <c r="B23" s="279"/>
      <c r="C23" s="280"/>
      <c r="D23" s="280">
        <v>0</v>
      </c>
      <c r="E23" s="273">
        <f>D23*(1+Parâmetros!B14)</f>
        <v>0</v>
      </c>
      <c r="F23" s="273">
        <f>E23*(1+Parâmetros!C14)</f>
        <v>0</v>
      </c>
      <c r="G23" s="273">
        <f>F23*(1+Parâmetros!D14)</f>
        <v>0</v>
      </c>
      <c r="H23" s="274">
        <f>G23*(1+Parâmetros!E14)</f>
        <v>0</v>
      </c>
    </row>
    <row r="24" spans="1:8" ht="12.75" customHeight="1">
      <c r="A24" s="153" t="s">
        <v>241</v>
      </c>
      <c r="B24" s="273">
        <f>Tab01!B14</f>
        <v>0</v>
      </c>
      <c r="C24" s="273">
        <f>Tab01!C14</f>
        <v>0</v>
      </c>
      <c r="D24" s="273">
        <f>Tab01!D14</f>
        <v>0</v>
      </c>
      <c r="E24" s="273">
        <f>Tab01!E14</f>
        <v>0</v>
      </c>
      <c r="F24" s="273">
        <f>Tab01!F14</f>
        <v>0</v>
      </c>
      <c r="G24" s="273">
        <f>Tab01!G14</f>
        <v>0</v>
      </c>
      <c r="H24" s="273">
        <f>Tab01!H14</f>
        <v>0</v>
      </c>
    </row>
    <row r="25" spans="1:8" ht="12.75" customHeight="1">
      <c r="A25" s="155" t="s">
        <v>240</v>
      </c>
      <c r="B25" s="275">
        <f aca="true" t="shared" si="4" ref="B25:H25">+B20+B21-B22-B23-B24</f>
        <v>677357.11</v>
      </c>
      <c r="C25" s="275">
        <f t="shared" si="4"/>
        <v>798353.64</v>
      </c>
      <c r="D25" s="275">
        <f t="shared" si="4"/>
        <v>820500</v>
      </c>
      <c r="E25" s="275">
        <f t="shared" si="4"/>
        <v>930611.1000000001</v>
      </c>
      <c r="F25" s="275">
        <f t="shared" si="4"/>
        <v>1045425.2444625</v>
      </c>
      <c r="G25" s="275">
        <f t="shared" si="4"/>
        <v>1179866.9309003775</v>
      </c>
      <c r="H25" s="276">
        <f t="shared" si="4"/>
        <v>1337762.6229281202</v>
      </c>
    </row>
    <row r="26" spans="1:8" ht="12.75" customHeight="1">
      <c r="A26" s="156" t="s">
        <v>131</v>
      </c>
      <c r="B26" s="277">
        <f>+'Tab01-A'!B14</f>
        <v>17600461.639999997</v>
      </c>
      <c r="C26" s="277">
        <f>+'Tab01-A'!C14</f>
        <v>19149790.35</v>
      </c>
      <c r="D26" s="277">
        <f>+'Tab01-A'!D14</f>
        <v>19832316.1</v>
      </c>
      <c r="E26" s="277">
        <f>+'Tab01-A'!E14</f>
        <v>22429088.64646212</v>
      </c>
      <c r="F26" s="277">
        <f>+'Tab01-A'!F14</f>
        <v>25009394.84622135</v>
      </c>
      <c r="G26" s="277">
        <f>+'Tab01-A'!G14</f>
        <v>27888939.790775582</v>
      </c>
      <c r="H26" s="278">
        <f>+'Tab01-A'!H14</f>
        <v>31102727.348597333</v>
      </c>
    </row>
    <row r="27" spans="1:8" ht="12.75" customHeight="1">
      <c r="A27" s="156" t="s">
        <v>132</v>
      </c>
      <c r="B27" s="157">
        <f aca="true" t="shared" si="5" ref="B27:H27">IF(B26&lt;&gt;0,B25/B26,0)</f>
        <v>0.03848518998277821</v>
      </c>
      <c r="C27" s="157">
        <f t="shared" si="5"/>
        <v>0.041689941529829855</v>
      </c>
      <c r="D27" s="157">
        <f t="shared" si="5"/>
        <v>0.041371869824120035</v>
      </c>
      <c r="E27" s="157">
        <f t="shared" si="5"/>
        <v>0.0414912578334649</v>
      </c>
      <c r="F27" s="157">
        <f t="shared" si="5"/>
        <v>0.04180130110667002</v>
      </c>
      <c r="G27" s="157">
        <f t="shared" si="5"/>
        <v>0.04230590835477456</v>
      </c>
      <c r="H27" s="218">
        <f t="shared" si="5"/>
        <v>0.04301110342943769</v>
      </c>
    </row>
    <row r="28" spans="1:8" ht="12.75" customHeight="1">
      <c r="A28" s="321"/>
      <c r="B28" s="321"/>
      <c r="C28" s="321"/>
      <c r="D28" s="321"/>
      <c r="E28" s="321"/>
      <c r="F28" s="321"/>
      <c r="G28" s="321"/>
      <c r="H28" s="322"/>
    </row>
    <row r="29" ht="12.75" customHeight="1"/>
    <row r="30" ht="12.75" customHeight="1">
      <c r="A30" s="71" t="s">
        <v>264</v>
      </c>
    </row>
    <row r="31" ht="12.75" customHeight="1">
      <c r="A31" s="71" t="s">
        <v>265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9">
    <mergeCell ref="A1:H1"/>
    <mergeCell ref="A3:H3"/>
    <mergeCell ref="A18:A19"/>
    <mergeCell ref="C18:H18"/>
    <mergeCell ref="A28:H28"/>
    <mergeCell ref="A2:H2"/>
    <mergeCell ref="C5:H5"/>
    <mergeCell ref="A5:A6"/>
    <mergeCell ref="A15:H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78" r:id="rId1"/>
  <headerFooter alignWithMargins="0">
    <oddHeader>&amp;L&amp;D, &amp;T&amp;CPág.&amp;P/&amp;N&amp;R&amp;F -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F31"/>
  <sheetViews>
    <sheetView showGridLines="0" zoomScale="75" zoomScaleNormal="75" zoomScalePageLayoutView="0" workbookViewId="0" topLeftCell="A1">
      <pane xSplit="1" ySplit="7" topLeftCell="B25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B30" sqref="B30"/>
    </sheetView>
  </sheetViews>
  <sheetFormatPr defaultColWidth="9.140625" defaultRowHeight="24" customHeight="1"/>
  <cols>
    <col min="1" max="1" width="73.421875" style="6" customWidth="1"/>
    <col min="2" max="9" width="22.7109375" style="6" customWidth="1"/>
    <col min="10" max="16384" width="9.140625" style="6" customWidth="1"/>
  </cols>
  <sheetData>
    <row r="1" s="5" customFormat="1" ht="24" customHeight="1">
      <c r="A1" s="5" t="s">
        <v>22</v>
      </c>
    </row>
    <row r="2" s="5" customFormat="1" ht="24" customHeight="1">
      <c r="A2" s="5" t="e">
        <f>#REF!</f>
        <v>#REF!</v>
      </c>
    </row>
    <row r="3" spans="1:5" s="5" customFormat="1" ht="24" customHeight="1">
      <c r="A3" s="5" t="s">
        <v>23</v>
      </c>
      <c r="E3" s="8"/>
    </row>
    <row r="4" s="5" customFormat="1" ht="24" customHeight="1">
      <c r="A4" s="5" t="s">
        <v>61</v>
      </c>
    </row>
    <row r="5" ht="24" customHeight="1">
      <c r="F5" s="11" t="s">
        <v>0</v>
      </c>
    </row>
    <row r="6" spans="1:6" ht="24" customHeight="1" hidden="1">
      <c r="A6" s="24"/>
      <c r="B6" s="324" t="s">
        <v>60</v>
      </c>
      <c r="C6" s="324"/>
      <c r="D6" s="324"/>
      <c r="E6" s="324"/>
      <c r="F6" s="324"/>
    </row>
    <row r="7" spans="1:6" ht="24" customHeight="1">
      <c r="A7" s="12"/>
      <c r="B7" s="12">
        <v>2001</v>
      </c>
      <c r="C7" s="12">
        <v>2002</v>
      </c>
      <c r="D7" s="12">
        <v>2003</v>
      </c>
      <c r="E7" s="12">
        <v>2004</v>
      </c>
      <c r="F7" s="12">
        <v>2005</v>
      </c>
    </row>
    <row r="8" spans="1:6" ht="24" customHeight="1" hidden="1">
      <c r="A8" s="13" t="s">
        <v>8</v>
      </c>
      <c r="B8" s="7">
        <f>SUM(B9:B13)</f>
        <v>1644333.41</v>
      </c>
      <c r="C8" s="7">
        <f>SUM(C9:C13)</f>
        <v>1864197.9100000001</v>
      </c>
      <c r="D8" s="7">
        <f>SUM(D9:D13)</f>
        <v>2074852.2738300003</v>
      </c>
      <c r="E8" s="7">
        <f>SUM(E9:E13)</f>
        <v>2276631.657459968</v>
      </c>
      <c r="F8" s="7">
        <f>SUM(F9:F13)</f>
        <v>2498034.0861479496</v>
      </c>
    </row>
    <row r="9" spans="1:6" ht="24" customHeight="1" hidden="1">
      <c r="A9" s="10" t="s">
        <v>9</v>
      </c>
      <c r="B9" s="2">
        <f>+Tab01!C9</f>
        <v>715289.63</v>
      </c>
      <c r="C9" s="2">
        <f>+Tab01!D9</f>
        <v>810273.76</v>
      </c>
      <c r="D9" s="2">
        <f>+Tab01!E9</f>
        <v>901834.6948800002</v>
      </c>
      <c r="E9" s="2">
        <f>+Tab01!F9</f>
        <v>989538.11895708</v>
      </c>
      <c r="F9" s="2">
        <f>+Tab01!G9</f>
        <v>1085770.7010256562</v>
      </c>
    </row>
    <row r="10" spans="1:6" ht="24" customHeight="1" hidden="1">
      <c r="A10" s="10" t="s">
        <v>10</v>
      </c>
      <c r="B10" s="2">
        <f>+Tab01!C11</f>
        <v>62542.95</v>
      </c>
      <c r="C10" s="2">
        <f>+Tab01!D11</f>
        <v>69616.66</v>
      </c>
      <c r="D10" s="2">
        <f>+Tab01!E11</f>
        <v>77483.34258000001</v>
      </c>
      <c r="E10" s="2">
        <f>+Tab01!F11</f>
        <v>85018.59764590501</v>
      </c>
      <c r="F10" s="2">
        <f>+Tab01!G11</f>
        <v>93286.65626696928</v>
      </c>
    </row>
    <row r="11" spans="1:6" ht="24" customHeight="1" hidden="1">
      <c r="A11" s="10" t="s">
        <v>11</v>
      </c>
      <c r="B11" s="2">
        <f>+Tab01!C10</f>
        <v>625992.26</v>
      </c>
      <c r="C11" s="2">
        <f>+Tab01!D10</f>
        <v>728833.28</v>
      </c>
      <c r="D11" s="2">
        <f>+Tab01!E10</f>
        <v>811191.4406400002</v>
      </c>
      <c r="E11" s="2">
        <f>+Tab01!F10</f>
        <v>890079.80824224</v>
      </c>
      <c r="F11" s="2">
        <f>+Tab01!G10</f>
        <v>976640.0695937979</v>
      </c>
    </row>
    <row r="12" spans="1:6" ht="24" customHeight="1" hidden="1">
      <c r="A12" s="10" t="s">
        <v>12</v>
      </c>
      <c r="B12" s="2"/>
      <c r="C12" s="2"/>
      <c r="D12" s="2"/>
      <c r="E12" s="2"/>
      <c r="F12" s="2"/>
    </row>
    <row r="13" spans="1:6" ht="24" customHeight="1" hidden="1">
      <c r="A13" s="10" t="s">
        <v>24</v>
      </c>
      <c r="B13" s="2">
        <f>+Tab01!C12</f>
        <v>240508.57</v>
      </c>
      <c r="C13" s="2">
        <f>+Tab01!D12</f>
        <v>255474.21</v>
      </c>
      <c r="D13" s="2">
        <f>+Tab01!E12</f>
        <v>284342.79573</v>
      </c>
      <c r="E13" s="2">
        <f>+Tab01!F12</f>
        <v>311995.1326147425</v>
      </c>
      <c r="F13" s="2">
        <f>+Tab01!G12</f>
        <v>342336.6592615262</v>
      </c>
    </row>
    <row r="14" spans="1:6" ht="24" customHeight="1" hidden="1">
      <c r="A14" s="14" t="s">
        <v>13</v>
      </c>
      <c r="B14" s="7" t="e">
        <f>SUM(B15:B21)</f>
        <v>#REF!</v>
      </c>
      <c r="C14" s="7" t="e">
        <f>SUM(C15:C21)</f>
        <v>#REF!</v>
      </c>
      <c r="D14" s="7" t="e">
        <f>SUM(D15:D21)</f>
        <v>#REF!</v>
      </c>
      <c r="E14" s="7" t="e">
        <f>SUM(E15:E21)</f>
        <v>#REF!</v>
      </c>
      <c r="F14" s="7" t="e">
        <f>SUM(F15:F21)</f>
        <v>#REF!</v>
      </c>
    </row>
    <row r="15" spans="1:6" ht="24" customHeight="1" hidden="1">
      <c r="A15" s="10" t="s">
        <v>25</v>
      </c>
      <c r="B15" s="2">
        <f>+Tab01!C37</f>
        <v>0</v>
      </c>
      <c r="C15" s="2">
        <f>+Tab01!D37</f>
        <v>0</v>
      </c>
      <c r="D15" s="2">
        <f>+Tab01!E37</f>
        <v>0</v>
      </c>
      <c r="E15" s="2">
        <f>+Tab01!F37</f>
        <v>0</v>
      </c>
      <c r="F15" s="2">
        <f>+Tab01!G37</f>
        <v>0</v>
      </c>
    </row>
    <row r="16" spans="1:6" ht="24" customHeight="1" hidden="1">
      <c r="A16" s="10" t="s">
        <v>14</v>
      </c>
      <c r="B16" s="2">
        <f>+Tab01!C38</f>
        <v>44715.69</v>
      </c>
      <c r="C16" s="2">
        <f>+Tab01!D38</f>
        <v>0</v>
      </c>
      <c r="D16" s="2">
        <f>+Tab01!E38</f>
        <v>0</v>
      </c>
      <c r="E16" s="2">
        <f>+Tab01!F38</f>
        <v>0</v>
      </c>
      <c r="F16" s="2">
        <f>+Tab01!G38</f>
        <v>0</v>
      </c>
    </row>
    <row r="17" spans="1:6" ht="24" customHeight="1" hidden="1">
      <c r="A17" s="10" t="s">
        <v>15</v>
      </c>
      <c r="B17" s="2">
        <f>+Tab01!C57</f>
        <v>77467.89</v>
      </c>
      <c r="C17" s="2">
        <f>+Tab01!D57</f>
        <v>123478</v>
      </c>
      <c r="D17" s="2">
        <f>+Tab01!E57</f>
        <v>140048.7476</v>
      </c>
      <c r="E17" s="2">
        <f>+Tab01!F57</f>
        <v>156595.50712894002</v>
      </c>
      <c r="F17" s="2">
        <f>+Tab01!G57</f>
        <v>175097.2662962243</v>
      </c>
    </row>
    <row r="18" spans="1:6" ht="24" customHeight="1" hidden="1">
      <c r="A18" s="10" t="s">
        <v>16</v>
      </c>
      <c r="B18" s="2">
        <f>+Tab01!C39</f>
        <v>0</v>
      </c>
      <c r="C18" s="2">
        <f>+Tab01!D39</f>
        <v>0</v>
      </c>
      <c r="D18" s="2">
        <f>+Tab01!E39</f>
        <v>0</v>
      </c>
      <c r="E18" s="2">
        <f>+Tab01!F39</f>
        <v>0</v>
      </c>
      <c r="F18" s="2">
        <f>+Tab01!G39</f>
        <v>0</v>
      </c>
    </row>
    <row r="19" spans="1:6" ht="24" customHeight="1" hidden="1">
      <c r="A19" s="10" t="s">
        <v>17</v>
      </c>
      <c r="B19" s="2" t="e">
        <f>+Tab01!#REF!</f>
        <v>#REF!</v>
      </c>
      <c r="C19" s="2" t="e">
        <f>+Tab01!#REF!</f>
        <v>#REF!</v>
      </c>
      <c r="D19" s="2" t="e">
        <f>+Tab01!#REF!</f>
        <v>#REF!</v>
      </c>
      <c r="E19" s="2" t="e">
        <f>+Tab01!#REF!</f>
        <v>#REF!</v>
      </c>
      <c r="F19" s="2" t="e">
        <f>+Tab01!#REF!</f>
        <v>#REF!</v>
      </c>
    </row>
    <row r="20" spans="1:6" ht="24" customHeight="1" hidden="1">
      <c r="A20" s="10" t="s">
        <v>18</v>
      </c>
      <c r="B20" s="2">
        <f>+Tab01!C40</f>
        <v>44715.69</v>
      </c>
      <c r="C20" s="2">
        <f>+Tab01!D40</f>
        <v>0</v>
      </c>
      <c r="D20" s="2">
        <f>+Tab01!E40</f>
        <v>0</v>
      </c>
      <c r="E20" s="2">
        <f>+Tab01!F40</f>
        <v>0</v>
      </c>
      <c r="F20" s="2">
        <f>+Tab01!G40</f>
        <v>0</v>
      </c>
    </row>
    <row r="21" spans="1:6" ht="24" customHeight="1" hidden="1">
      <c r="A21" s="10" t="s">
        <v>19</v>
      </c>
      <c r="B21" s="2">
        <f>+Tab01!C47</f>
        <v>0</v>
      </c>
      <c r="C21" s="2">
        <f>+Tab01!D47</f>
        <v>0</v>
      </c>
      <c r="D21" s="2">
        <f>+Tab01!E47</f>
        <v>0</v>
      </c>
      <c r="E21" s="2">
        <f>+Tab01!F47</f>
        <v>0</v>
      </c>
      <c r="F21" s="2">
        <f>+Tab01!G47</f>
        <v>0</v>
      </c>
    </row>
    <row r="22" spans="1:6" ht="24" customHeight="1" hidden="1">
      <c r="A22" s="15" t="s">
        <v>26</v>
      </c>
      <c r="B22" s="16" t="e">
        <f>B8+B14</f>
        <v>#REF!</v>
      </c>
      <c r="C22" s="16" t="e">
        <f>C8+C14</f>
        <v>#REF!</v>
      </c>
      <c r="D22" s="16" t="e">
        <f>D8+D14</f>
        <v>#REF!</v>
      </c>
      <c r="E22" s="16" t="e">
        <f>E8+E14</f>
        <v>#REF!</v>
      </c>
      <c r="F22" s="16" t="e">
        <f>F8+F14</f>
        <v>#REF!</v>
      </c>
    </row>
    <row r="23" spans="1:6" ht="24" customHeight="1" hidden="1">
      <c r="A23" s="17" t="s">
        <v>27</v>
      </c>
      <c r="B23" s="18"/>
      <c r="C23" s="19"/>
      <c r="D23" s="9"/>
      <c r="E23" s="9"/>
      <c r="F23" s="9"/>
    </row>
    <row r="24" spans="1:6" ht="24" customHeight="1" hidden="1">
      <c r="A24" s="20" t="s">
        <v>43</v>
      </c>
      <c r="B24" s="21">
        <v>0.07</v>
      </c>
      <c r="C24" s="19"/>
      <c r="D24" s="9"/>
      <c r="E24" s="9"/>
      <c r="F24" s="9"/>
    </row>
    <row r="25" spans="1:6" ht="24" customHeight="1">
      <c r="A25" s="22" t="s">
        <v>28</v>
      </c>
      <c r="B25" s="23"/>
      <c r="C25" s="23"/>
      <c r="D25" s="23"/>
      <c r="E25" s="23"/>
      <c r="F25" s="23"/>
    </row>
    <row r="26" spans="1:6" ht="24" customHeight="1">
      <c r="A26" s="1" t="str">
        <f>CONCATENATE("Legislativo Total (A) = ",TEXT(B24,"0,0%")," de Base de Cálculo")</f>
        <v>Legislativo Total (A) = 7,0% de Base de Cálculo</v>
      </c>
      <c r="B26" s="4" t="e">
        <f>Tab04!B34/#REF!</f>
        <v>#REF!</v>
      </c>
      <c r="C26" s="4" t="e">
        <f>Tab04!C34/#REF!</f>
        <v>#REF!</v>
      </c>
      <c r="D26" s="4" t="e">
        <f>Tab04!D34/#REF!</f>
        <v>#REF!</v>
      </c>
      <c r="E26" s="4" t="e">
        <f>Tab04!E34/#REF!</f>
        <v>#REF!</v>
      </c>
      <c r="F26" s="4" t="e">
        <f>Tab04!F34/#REF!</f>
        <v>#REF!</v>
      </c>
    </row>
    <row r="27" spans="1:6" ht="24" customHeight="1">
      <c r="A27" s="1" t="s">
        <v>62</v>
      </c>
      <c r="B27" s="4" t="e">
        <f>+B26*70%</f>
        <v>#REF!</v>
      </c>
      <c r="C27" s="4" t="e">
        <f>+C26*70%</f>
        <v>#REF!</v>
      </c>
      <c r="D27" s="4" t="e">
        <f>+D26*70%</f>
        <v>#REF!</v>
      </c>
      <c r="E27" s="4" t="e">
        <f>+E26*70%</f>
        <v>#REF!</v>
      </c>
      <c r="F27" s="4" t="e">
        <f>+F26*70%</f>
        <v>#REF!</v>
      </c>
    </row>
    <row r="28" spans="2:6" ht="24" customHeight="1">
      <c r="B28" s="25"/>
      <c r="C28" s="26"/>
      <c r="D28" s="3"/>
      <c r="E28" s="3"/>
      <c r="F28" s="3"/>
    </row>
    <row r="29" spans="1:6" ht="24" customHeight="1">
      <c r="A29" s="22" t="s">
        <v>29</v>
      </c>
      <c r="B29" s="27"/>
      <c r="C29" s="27"/>
      <c r="D29" s="27"/>
      <c r="E29" s="27"/>
      <c r="F29" s="27"/>
    </row>
    <row r="30" spans="1:6" ht="24" customHeight="1">
      <c r="A30" s="1" t="s">
        <v>30</v>
      </c>
      <c r="B30" s="4" t="e">
        <f>Tab04!B38/#REF!</f>
        <v>#REF!</v>
      </c>
      <c r="C30" s="4" t="e">
        <f>Tab04!C38/#REF!</f>
        <v>#REF!</v>
      </c>
      <c r="D30" s="4" t="e">
        <f>Tab04!D38/#REF!</f>
        <v>#REF!</v>
      </c>
      <c r="E30" s="4" t="e">
        <f>Tab04!E38/#REF!</f>
        <v>#REF!</v>
      </c>
      <c r="F30" s="4" t="e">
        <f>Tab04!F38/#REF!</f>
        <v>#REF!</v>
      </c>
    </row>
    <row r="31" spans="1:6" ht="24" customHeight="1">
      <c r="A31" s="1" t="s">
        <v>31</v>
      </c>
      <c r="B31" s="4" t="e">
        <f>Tab04!#REF!/#REF!</f>
        <v>#REF!</v>
      </c>
      <c r="C31" s="4" t="e">
        <f>Tab04!#REF!/#REF!</f>
        <v>#REF!</v>
      </c>
      <c r="D31" s="4" t="e">
        <f>Tab04!#REF!/#REF!</f>
        <v>#REF!</v>
      </c>
      <c r="E31" s="4" t="e">
        <f>Tab04!#REF!/#REF!</f>
        <v>#REF!</v>
      </c>
      <c r="F31" s="4" t="e">
        <f>Tab04!#REF!/#REF!</f>
        <v>#REF!</v>
      </c>
    </row>
  </sheetData>
  <sheetProtection/>
  <mergeCells count="1">
    <mergeCell ref="B6:F6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0"/>
  <dimension ref="A1:G40"/>
  <sheetViews>
    <sheetView tabSelected="1" zoomScale="90" zoomScaleNormal="90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82.57421875" style="99" customWidth="1"/>
    <col min="2" max="6" width="14.7109375" style="99" customWidth="1"/>
    <col min="7" max="16384" width="9.140625" style="99" customWidth="1"/>
  </cols>
  <sheetData>
    <row r="1" spans="1:6" s="100" customFormat="1" ht="12.75" customHeight="1">
      <c r="A1" s="325" t="str">
        <f>+Tab01!A1</f>
        <v>MUNICÍPIO DE:  </v>
      </c>
      <c r="B1" s="326"/>
      <c r="C1" s="326"/>
      <c r="D1" s="326"/>
      <c r="E1" s="326"/>
      <c r="F1" s="326"/>
    </row>
    <row r="2" spans="1:6" ht="12.75" customHeight="1">
      <c r="A2" s="325" t="s">
        <v>179</v>
      </c>
      <c r="B2" s="325"/>
      <c r="C2" s="325"/>
      <c r="D2" s="325"/>
      <c r="E2" s="325"/>
      <c r="F2" s="325"/>
    </row>
    <row r="3" spans="1:6" ht="12.75" customHeight="1">
      <c r="A3" s="304" t="s">
        <v>242</v>
      </c>
      <c r="B3" s="327"/>
      <c r="C3" s="327"/>
      <c r="D3" s="327"/>
      <c r="E3" s="327"/>
      <c r="F3" s="327"/>
    </row>
    <row r="4" spans="1:6" ht="12.75" customHeight="1">
      <c r="A4" s="159"/>
      <c r="B4" s="159"/>
      <c r="C4" s="159"/>
      <c r="D4" s="159"/>
      <c r="E4" s="159"/>
      <c r="F4" s="160"/>
    </row>
    <row r="5" spans="1:6" ht="12.75" customHeight="1">
      <c r="A5" s="137" t="s">
        <v>65</v>
      </c>
      <c r="B5" s="137">
        <f>+C5-1</f>
        <v>2017</v>
      </c>
      <c r="C5" s="137">
        <f>+D5-1</f>
        <v>2018</v>
      </c>
      <c r="D5" s="137">
        <f>+E5-1</f>
        <v>2019</v>
      </c>
      <c r="E5" s="161">
        <f>+F5-1</f>
        <v>2020</v>
      </c>
      <c r="F5" s="161">
        <f>+Tab04!F6</f>
        <v>2021</v>
      </c>
    </row>
    <row r="6" spans="1:6" ht="12.75" customHeight="1">
      <c r="A6" s="129" t="s">
        <v>162</v>
      </c>
      <c r="B6" s="162">
        <f>Tab01!D6</f>
        <v>19466387.34</v>
      </c>
      <c r="C6" s="162">
        <f>Tab01!E6</f>
        <v>22016633.79122212</v>
      </c>
      <c r="D6" s="162">
        <f>Tab01!F6</f>
        <v>24551082.532739975</v>
      </c>
      <c r="E6" s="162">
        <f>Tab01!G6</f>
        <v>27379674.815040577</v>
      </c>
      <c r="F6" s="162">
        <f>Tab01!H6</f>
        <v>30536845.856615156</v>
      </c>
    </row>
    <row r="7" spans="1:6" ht="12.75" customHeight="1">
      <c r="A7" s="163"/>
      <c r="B7" s="164"/>
      <c r="C7" s="164"/>
      <c r="D7" s="164"/>
      <c r="E7" s="164"/>
      <c r="F7" s="164"/>
    </row>
    <row r="8" spans="1:6" ht="12.75" customHeight="1">
      <c r="A8" s="163"/>
      <c r="B8" s="164"/>
      <c r="C8" s="164"/>
      <c r="D8" s="164"/>
      <c r="E8" s="164"/>
      <c r="F8" s="164"/>
    </row>
    <row r="9" spans="1:6" ht="12.75" customHeight="1">
      <c r="A9" s="121" t="s">
        <v>163</v>
      </c>
      <c r="B9" s="165">
        <f>+B10+B13</f>
        <v>1102267.5484000002</v>
      </c>
      <c r="C9" s="165">
        <f>+C10+C13</f>
        <v>1182226.2334122213</v>
      </c>
      <c r="D9" s="165">
        <f>+D10+D13</f>
        <v>1250863.4161248999</v>
      </c>
      <c r="E9" s="165">
        <f>+E10+E13</f>
        <v>1324390.2055337932</v>
      </c>
      <c r="F9" s="165">
        <f>+F10+F13</f>
        <v>1403238.6215317913</v>
      </c>
    </row>
    <row r="10" spans="1:6" ht="12.75" customHeight="1">
      <c r="A10" s="149" t="s">
        <v>86</v>
      </c>
      <c r="B10" s="166">
        <f>SUM(B11:B12)</f>
        <v>320000</v>
      </c>
      <c r="C10" s="166">
        <f>SUM(C11:C12)</f>
        <v>339200</v>
      </c>
      <c r="D10" s="166">
        <f>SUM(D11:D12)</f>
        <v>354464</v>
      </c>
      <c r="E10" s="166">
        <f>SUM(E11:E12)</f>
        <v>370414.87999999995</v>
      </c>
      <c r="F10" s="166">
        <f>SUM(F11:F12)</f>
        <v>387083.5495999999</v>
      </c>
    </row>
    <row r="11" spans="1:6" ht="12.75" customHeight="1">
      <c r="A11" s="163" t="s">
        <v>113</v>
      </c>
      <c r="B11" s="98"/>
      <c r="C11" s="164">
        <f>B11*(1+Parâmetros!B14)</f>
        <v>0</v>
      </c>
      <c r="D11" s="164">
        <f>C11*(1+Parâmetros!C14)</f>
        <v>0</v>
      </c>
      <c r="E11" s="164">
        <f>D11*(1+Parâmetros!D14)</f>
        <v>0</v>
      </c>
      <c r="F11" s="164">
        <f>E11*(1+Parâmetros!E14)</f>
        <v>0</v>
      </c>
    </row>
    <row r="12" spans="1:6" ht="12.75" customHeight="1">
      <c r="A12" s="163" t="s">
        <v>88</v>
      </c>
      <c r="B12" s="98">
        <v>320000</v>
      </c>
      <c r="C12" s="164">
        <f>B12*(1+Parâmetros!B14)</f>
        <v>339200</v>
      </c>
      <c r="D12" s="164">
        <f>C12*(1+Parâmetros!C14)</f>
        <v>354464</v>
      </c>
      <c r="E12" s="164">
        <f>D12*(1+Parâmetros!D14)</f>
        <v>370414.87999999995</v>
      </c>
      <c r="F12" s="164">
        <f>E12*(1+Parâmetros!E14)</f>
        <v>387083.5495999999</v>
      </c>
    </row>
    <row r="13" spans="1:6" ht="12.75" customHeight="1">
      <c r="A13" s="121" t="s">
        <v>128</v>
      </c>
      <c r="B13" s="165">
        <f>SUM(B14:B18)</f>
        <v>782267.5484000001</v>
      </c>
      <c r="C13" s="165">
        <f>SUM(C14:C18)</f>
        <v>843026.2334122213</v>
      </c>
      <c r="D13" s="165">
        <f>SUM(D14:D18)</f>
        <v>896399.4161248998</v>
      </c>
      <c r="E13" s="165">
        <f>SUM(E14:E18)</f>
        <v>953975.3255337933</v>
      </c>
      <c r="F13" s="165">
        <f>SUM(F14:F18)</f>
        <v>1016155.0719317914</v>
      </c>
    </row>
    <row r="14" spans="1:6" ht="12.75" customHeight="1">
      <c r="A14" s="163" t="s">
        <v>243</v>
      </c>
      <c r="B14" s="98">
        <v>590318.8</v>
      </c>
      <c r="C14" s="164">
        <f>B14*(1+Parâmetros!B14)</f>
        <v>625737.9280000001</v>
      </c>
      <c r="D14" s="164">
        <f>C14*(1+Parâmetros!C14)</f>
        <v>653896.13476</v>
      </c>
      <c r="E14" s="164">
        <f>D14*(1+Parâmetros!D14)</f>
        <v>683321.4608242</v>
      </c>
      <c r="F14" s="164">
        <f>E14*(1+Parâmetros!E14)</f>
        <v>714070.9265612889</v>
      </c>
    </row>
    <row r="15" spans="1:6" ht="12.75" customHeight="1">
      <c r="A15" s="163" t="s">
        <v>166</v>
      </c>
      <c r="B15" s="164">
        <f>(Tab01!D8+Tab01!D88-Tab01!D67-Tab01!D90)*1%</f>
        <v>191948.7484</v>
      </c>
      <c r="C15" s="164">
        <f>(Tab01!E8+Tab01!E88-Tab01!E67-Tab01!E90)*1%</f>
        <v>217288.30541222123</v>
      </c>
      <c r="D15" s="164">
        <f>(Tab01!F8+Tab01!F88-Tab01!F67-Tab01!F90)*1%</f>
        <v>242503.28136489974</v>
      </c>
      <c r="E15" s="164">
        <f>(Tab01!G8+Tab01!G88-Tab01!G67-Tab01!G90)*1%</f>
        <v>270653.8647095933</v>
      </c>
      <c r="F15" s="164">
        <f>(Tab01!H8+Tab01!H88-Tab01!H67-Tab01!H90)*1%</f>
        <v>302084.1453705025</v>
      </c>
    </row>
    <row r="16" spans="1:6" ht="12.75" customHeight="1">
      <c r="A16" s="163" t="s">
        <v>248</v>
      </c>
      <c r="B16" s="164">
        <f>Tab05!D8+Tab05!D21</f>
        <v>0</v>
      </c>
      <c r="C16" s="164">
        <f>Tab05!E8+Tab05!E21</f>
        <v>0</v>
      </c>
      <c r="D16" s="164">
        <f>Tab05!F8+Tab05!F21</f>
        <v>0</v>
      </c>
      <c r="E16" s="164">
        <f>Tab05!G8+Tab05!G21</f>
        <v>0</v>
      </c>
      <c r="F16" s="164">
        <f>Tab05!H8+Tab05!H21</f>
        <v>0</v>
      </c>
    </row>
    <row r="17" spans="1:6" ht="12.75" customHeight="1">
      <c r="A17" s="163" t="s">
        <v>249</v>
      </c>
      <c r="B17" s="164">
        <f>(Tab01!D21+Tab01!D32+Tab01!D22+Tab01!D98)-(Tab05!D9+Tab05!D22)</f>
        <v>0</v>
      </c>
      <c r="C17" s="164">
        <f>(Tab01!E21+Tab01!E32+Tab01!E22+Tab01!E98)-(Tab05!E9+Tab05!E22)</f>
        <v>0</v>
      </c>
      <c r="D17" s="164">
        <f>(Tab01!F21+Tab01!F32+Tab01!F22+Tab01!F98)-(Tab05!F9+Tab05!F22)</f>
        <v>0</v>
      </c>
      <c r="E17" s="164">
        <f>(Tab01!G21+Tab01!G32+Tab01!G22+Tab01!G98)-(Tab05!G9+Tab05!G22)</f>
        <v>0</v>
      </c>
      <c r="F17" s="164">
        <f>(Tab01!H21+Tab01!H32+Tab01!H22+Tab01!H98)-(Tab05!H9+Tab05!H22)</f>
        <v>0</v>
      </c>
    </row>
    <row r="18" spans="1:6" ht="12.75" customHeight="1">
      <c r="A18" s="163" t="s">
        <v>129</v>
      </c>
      <c r="B18" s="98"/>
      <c r="C18" s="164">
        <f>B18*(1+Parâmetros!B14)</f>
        <v>0</v>
      </c>
      <c r="D18" s="164">
        <f>C18*(1+Parâmetros!C14)</f>
        <v>0</v>
      </c>
      <c r="E18" s="164">
        <f>D18*(1+Parâmetros!D14)</f>
        <v>0</v>
      </c>
      <c r="F18" s="164">
        <f>E18*(1+Parâmetros!E14)</f>
        <v>0</v>
      </c>
    </row>
    <row r="19" spans="1:6" ht="12.75" customHeight="1">
      <c r="A19" s="129" t="s">
        <v>170</v>
      </c>
      <c r="B19" s="165">
        <f>+B6-B9</f>
        <v>18364119.7916</v>
      </c>
      <c r="C19" s="165">
        <f>+C6-C9</f>
        <v>20834407.5578099</v>
      </c>
      <c r="D19" s="165">
        <f>+D6-D9</f>
        <v>23300219.116615076</v>
      </c>
      <c r="E19" s="165">
        <f>+E6-E9</f>
        <v>26055284.609506786</v>
      </c>
      <c r="F19" s="165">
        <f>+F6-F9</f>
        <v>29133607.235083364</v>
      </c>
    </row>
    <row r="20" spans="1:6" ht="12.75" customHeight="1">
      <c r="A20" s="149" t="s">
        <v>168</v>
      </c>
      <c r="B20" s="166">
        <f>B21+B22+B23+B24</f>
        <v>14443833.5</v>
      </c>
      <c r="C20" s="166">
        <f>C21+C22+C23+C24</f>
        <v>16418772.56187122</v>
      </c>
      <c r="D20" s="166">
        <f>D21+D22+D23+D24</f>
        <v>18434649.124761213</v>
      </c>
      <c r="E20" s="166">
        <f>E21+E22+E23+E24</f>
        <v>20780777.404433545</v>
      </c>
      <c r="F20" s="166">
        <f>F21+F22+F23+F24</f>
        <v>23518819.90912853</v>
      </c>
    </row>
    <row r="21" spans="1:6" ht="12.75" customHeight="1">
      <c r="A21" s="130" t="s">
        <v>164</v>
      </c>
      <c r="B21" s="164">
        <f>Tab03!D32+Tab03!D31</f>
        <v>2844345.29</v>
      </c>
      <c r="C21" s="164">
        <f>Tab03!E32+Tab03!E31</f>
        <v>3245047.1035464997</v>
      </c>
      <c r="D21" s="164">
        <f>Tab03!F32+Tab03!F31</f>
        <v>3659427.9746140386</v>
      </c>
      <c r="E21" s="164">
        <f>Tab03!G32+Tab03!G31</f>
        <v>4137408.5597708574</v>
      </c>
      <c r="F21" s="164">
        <f>Tab03!H32+Tab03!H31</f>
        <v>4689810.891490635</v>
      </c>
    </row>
    <row r="22" spans="1:6" ht="12.75" customHeight="1">
      <c r="A22" s="130" t="s">
        <v>165</v>
      </c>
      <c r="B22" s="164">
        <f>Tab02!D34</f>
        <v>4589516.92</v>
      </c>
      <c r="C22" s="164">
        <f>Tab02!E34</f>
        <v>5215474.75720672</v>
      </c>
      <c r="D22" s="164">
        <f>Tab02!F34</f>
        <v>5865409.663728742</v>
      </c>
      <c r="E22" s="164">
        <f>Tab02!G34</f>
        <v>6621517.065328446</v>
      </c>
      <c r="F22" s="164">
        <f>Tab02!H34</f>
        <v>7503468.699695565</v>
      </c>
    </row>
    <row r="23" spans="1:6" ht="12.75" customHeight="1">
      <c r="A23" s="130" t="s">
        <v>254</v>
      </c>
      <c r="B23" s="164">
        <f>Tab04!B37</f>
        <v>1154580</v>
      </c>
      <c r="C23" s="164">
        <f>Tab04!C37</f>
        <v>1317065.9000000001</v>
      </c>
      <c r="D23" s="164">
        <f>Tab04!D37</f>
        <v>1449270.5104625</v>
      </c>
      <c r="E23" s="164">
        <f>Tab04!E37</f>
        <v>1601885.2338703773</v>
      </c>
      <c r="F23" s="164">
        <f>Tab04!F37</f>
        <v>1778771.7495317701</v>
      </c>
    </row>
    <row r="24" spans="1:6" ht="12.75" customHeight="1">
      <c r="A24" s="130" t="s">
        <v>253</v>
      </c>
      <c r="B24" s="164">
        <f>Tab05!D7-Tab02!D31-Tab03!D28</f>
        <v>5855391.289999999</v>
      </c>
      <c r="C24" s="164">
        <f>Tab05!E7-Tab02!E31-Tab03!E28</f>
        <v>6641184.801118</v>
      </c>
      <c r="D24" s="164">
        <f>Tab05!F7-Tab02!F31-Tab03!F28</f>
        <v>7460540.9759559315</v>
      </c>
      <c r="E24" s="164">
        <f>Tab05!G7-Tab02!G31-Tab03!G28</f>
        <v>8419966.545463864</v>
      </c>
      <c r="F24" s="164">
        <f>Tab05!H7-Tab02!H31-Tab03!H28</f>
        <v>9546768.568410564</v>
      </c>
    </row>
    <row r="25" spans="1:6" ht="12.75" customHeight="1">
      <c r="A25" s="121" t="s">
        <v>169</v>
      </c>
      <c r="B25" s="165">
        <f>SUM(B26:B32)</f>
        <v>1607593.56</v>
      </c>
      <c r="C25" s="165">
        <f>SUM(C26:C32)</f>
        <v>1797980.3014281602</v>
      </c>
      <c r="D25" s="165">
        <f>SUM(D26:D32)</f>
        <v>1983881.3184663146</v>
      </c>
      <c r="E25" s="165">
        <f>SUM(E26:E32)</f>
        <v>2190337.8428432127</v>
      </c>
      <c r="F25" s="165">
        <f>SUM(F26:F32)</f>
        <v>2419800.849776781</v>
      </c>
    </row>
    <row r="26" spans="1:6" ht="12.75" customHeight="1">
      <c r="A26" s="163" t="s">
        <v>167</v>
      </c>
      <c r="B26" s="164">
        <f>Tab01!D23</f>
        <v>43321.31</v>
      </c>
      <c r="C26" s="164">
        <f>Tab01!E23</f>
        <v>47073.19537386</v>
      </c>
      <c r="D26" s="164">
        <f>Tab01!F23</f>
        <v>50465.5487350749</v>
      </c>
      <c r="E26" s="164">
        <f>Tab01!G23</f>
        <v>54076.005488228366</v>
      </c>
      <c r="F26" s="164">
        <f>Tab01!H23</f>
        <v>57956.067034019725</v>
      </c>
    </row>
    <row r="27" spans="1:6" ht="12.75" customHeight="1">
      <c r="A27" s="163" t="s">
        <v>246</v>
      </c>
      <c r="B27" s="164">
        <f>Tab01!D28+Tab01!D47+Tab01!D50+Tab01!D69+Tab01!D92</f>
        <v>326318.35000000003</v>
      </c>
      <c r="C27" s="164">
        <f>Tab01!E28+Tab01!E47+Tab01!E50+Tab01!E69+Tab01!E92</f>
        <v>370046.8464259</v>
      </c>
      <c r="D27" s="164">
        <f>Tab01!F28+Tab01!F47+Tab01!F50+Tab01!F69+Tab01!F92</f>
        <v>413701.14795723517</v>
      </c>
      <c r="E27" s="164">
        <f>Tab01!G28+Tab01!G47+Tab01!G50+Tab01!G69+Tab01!G92</f>
        <v>462507.5849005436</v>
      </c>
      <c r="F27" s="164">
        <f>Tab01!H28+Tab01!H47+Tab01!H50+Tab01!H69+Tab01!H92</f>
        <v>517075.6736373697</v>
      </c>
    </row>
    <row r="28" spans="1:7" ht="12.75" customHeight="1">
      <c r="A28" s="163" t="s">
        <v>244</v>
      </c>
      <c r="B28" s="164">
        <f>Tab01!D30+Tab01!D39+Tab01!D48+Tab01!D58+Tab01!D63+Tab01!D68+Tab01!D91</f>
        <v>588200</v>
      </c>
      <c r="C28" s="164">
        <f>Tab01!E30+Tab01!E39+Tab01!E48+Tab01!E58+Tab01!E63+Tab01!E68+Tab01!E91</f>
        <v>667136.44</v>
      </c>
      <c r="D28" s="164">
        <f>Tab01!F30+Tab01!F39+Tab01!F48+Tab01!F58+Tab01!F63+Tab01!F68+Tab01!F91</f>
        <v>745958.610386</v>
      </c>
      <c r="E28" s="164">
        <f>Tab01!G30+Tab01!G39+Tab01!G48+Tab01!G58+Tab01!G63+Tab01!G68+Tab01!G91</f>
        <v>834093.6202031058</v>
      </c>
      <c r="F28" s="164">
        <f>Tab01!H30+Tab01!H39+Tab01!H48+Tab01!H58+Tab01!H63+Tab01!H68+Tab01!H91</f>
        <v>932641.7814301028</v>
      </c>
      <c r="G28" s="82"/>
    </row>
    <row r="29" spans="1:6" ht="12.75" customHeight="1">
      <c r="A29" s="163" t="s">
        <v>245</v>
      </c>
      <c r="B29" s="164">
        <f>Tab01!D31+Tab01!D49+Tab01!D59+Tab01!D70+Tab01!D93</f>
        <v>313510</v>
      </c>
      <c r="C29" s="164">
        <f>Tab01!E31+Tab01!E49+Tab01!E59+Tab01!E70+Tab01!E93</f>
        <v>355583.0420000001</v>
      </c>
      <c r="D29" s="164">
        <f>Tab01!F31+Tab01!F49+Tab01!F59+Tab01!F70+Tab01!F93</f>
        <v>397595.1784123001</v>
      </c>
      <c r="E29" s="164">
        <f>Tab01!G31+Tab01!G49+Tab01!G59+Tab01!G70+Tab01!G93</f>
        <v>444571.0487417134</v>
      </c>
      <c r="F29" s="164">
        <f>Tab01!H31+Tab01!H49+Tab01!H59+Tab01!H70+Tab01!H93</f>
        <v>497097.11815054686</v>
      </c>
    </row>
    <row r="30" spans="1:6" ht="12.75" customHeight="1">
      <c r="A30" s="163" t="s">
        <v>250</v>
      </c>
      <c r="B30" s="164">
        <f>Tab01!D85+Tab01!D86+Tab01!D87</f>
        <v>10700</v>
      </c>
      <c r="C30" s="164">
        <f>Tab01!E85+Tab01!E86+Tab01!E87</f>
        <v>11342</v>
      </c>
      <c r="D30" s="164">
        <f>Tab01!F85+Tab01!F86+Tab01!F87</f>
        <v>11852.39</v>
      </c>
      <c r="E30" s="164">
        <f>Tab01!G85+Tab01!G86+Tab01!G87</f>
        <v>12385.747549999998</v>
      </c>
      <c r="F30" s="164">
        <f>Tab01!H85+Tab01!H86+Tab01!H87</f>
        <v>12943.106189749997</v>
      </c>
    </row>
    <row r="31" spans="1:6" ht="12.75" customHeight="1">
      <c r="A31" s="163" t="s">
        <v>251</v>
      </c>
      <c r="B31" s="164">
        <f>Tab01!D33+Tab01!D60+Tab01!D71+Tab01!D72+Tab01!D73</f>
        <v>325543.9</v>
      </c>
      <c r="C31" s="164">
        <f>Tab01!E33+Tab01!E60+Tab01!E71+Tab01!E72+Tab01!E73</f>
        <v>346798.7776284</v>
      </c>
      <c r="D31" s="164">
        <f>Tab01!F33+Tab01!F60+Tab01!F71+Tab01!F72+Tab01!F73</f>
        <v>364308.44297570444</v>
      </c>
      <c r="E31" s="164">
        <f>Tab01!G33+Tab01!G60+Tab01!G71+Tab01!G72+Tab01!G73</f>
        <v>382703.8359596215</v>
      </c>
      <c r="F31" s="164">
        <f>Tab01!H33+Tab01!H60+Tab01!H71+Tab01!H72+Tab01!H73</f>
        <v>402087.1033349922</v>
      </c>
    </row>
    <row r="32" spans="1:6" ht="12.75" customHeight="1">
      <c r="A32" s="163" t="s">
        <v>252</v>
      </c>
      <c r="B32" s="167">
        <f>Tab01!D89+Tab01!D94+Tab01!D95+Tab01!D96+Tab01!D97</f>
        <v>0</v>
      </c>
      <c r="C32" s="167">
        <f>Tab01!E89+Tab01!E94+Tab01!E95+Tab01!E96+Tab01!E97</f>
        <v>0</v>
      </c>
      <c r="D32" s="167">
        <f>Tab01!F89+Tab01!F94+Tab01!F95+Tab01!F96+Tab01!F97</f>
        <v>0</v>
      </c>
      <c r="E32" s="167">
        <f>Tab01!G89+Tab01!G94+Tab01!G95+Tab01!G96+Tab01!G97</f>
        <v>0</v>
      </c>
      <c r="F32" s="167">
        <f>Tab01!H89+Tab01!H94+Tab01!H95+Tab01!H96+Tab01!H97</f>
        <v>0</v>
      </c>
    </row>
    <row r="33" spans="1:6" ht="12.75" customHeight="1">
      <c r="A33" s="168" t="s">
        <v>255</v>
      </c>
      <c r="B33" s="169">
        <f>B19-B20-B25</f>
        <v>2312692.7316</v>
      </c>
      <c r="C33" s="169">
        <f>C19-C20-C25</f>
        <v>2617654.694510521</v>
      </c>
      <c r="D33" s="169">
        <f>D19-D20-D25</f>
        <v>2881688.6733875484</v>
      </c>
      <c r="E33" s="169">
        <f>E19-E20-E25</f>
        <v>3084169.3622300285</v>
      </c>
      <c r="F33" s="169">
        <f>F19-F20-F25</f>
        <v>3194986.476178051</v>
      </c>
    </row>
    <row r="34" spans="1:6" ht="12.75" customHeight="1">
      <c r="A34" s="83"/>
      <c r="B34" s="97"/>
      <c r="C34" s="82"/>
      <c r="D34" s="82"/>
      <c r="E34" s="82"/>
      <c r="F34" s="82"/>
    </row>
    <row r="35" spans="1:6" ht="12.75" customHeight="1">
      <c r="A35" s="83"/>
      <c r="B35" s="97"/>
      <c r="C35" s="82"/>
      <c r="D35" s="82"/>
      <c r="E35" s="82"/>
      <c r="F35" s="82"/>
    </row>
    <row r="36" spans="1:6" ht="12.75" customHeight="1">
      <c r="A36" s="83"/>
      <c r="B36" s="97"/>
      <c r="C36" s="82"/>
      <c r="D36" s="82"/>
      <c r="E36" s="82"/>
      <c r="F36" s="82"/>
    </row>
    <row r="37" spans="1:6" ht="12.75" customHeight="1">
      <c r="A37" s="84"/>
      <c r="B37" s="91"/>
      <c r="C37" s="92"/>
      <c r="D37" s="92"/>
      <c r="E37" s="92"/>
      <c r="F37" s="92"/>
    </row>
    <row r="38" spans="1:6" ht="12.75" customHeight="1">
      <c r="A38" s="84"/>
      <c r="B38" s="290"/>
      <c r="C38" s="92"/>
      <c r="D38" s="92"/>
      <c r="E38" s="92"/>
      <c r="F38" s="92"/>
    </row>
    <row r="39" spans="1:6" ht="12.75" customHeight="1">
      <c r="A39" s="84"/>
      <c r="B39" s="92"/>
      <c r="C39" s="92"/>
      <c r="D39" s="92"/>
      <c r="E39" s="92"/>
      <c r="F39" s="92"/>
    </row>
    <row r="40" spans="1:6" ht="12.75" customHeight="1">
      <c r="A40" s="92"/>
      <c r="B40" s="92"/>
      <c r="C40" s="92"/>
      <c r="D40" s="92"/>
      <c r="E40" s="92"/>
      <c r="F40" s="92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mergeCells count="3">
    <mergeCell ref="A1:F1"/>
    <mergeCell ref="A2:F2"/>
    <mergeCell ref="A3:F3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62" r:id="rId1"/>
  <headerFooter alignWithMargins="0">
    <oddHeader>&amp;L&amp;D, &amp;T&amp;CPág.&amp;P/&amp;N&amp;R&amp;F -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 Garson Braule Pinto</dc:creator>
  <cp:keywords/>
  <dc:description/>
  <cp:lastModifiedBy>Windows 7 Pro</cp:lastModifiedBy>
  <cp:lastPrinted>2017-11-06T14:06:42Z</cp:lastPrinted>
  <dcterms:created xsi:type="dcterms:W3CDTF">2001-06-21T00:51:05Z</dcterms:created>
  <dcterms:modified xsi:type="dcterms:W3CDTF">2017-11-06T14:07:11Z</dcterms:modified>
  <cp:category/>
  <cp:version/>
  <cp:contentType/>
  <cp:contentStatus/>
</cp:coreProperties>
</file>